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90" yWindow="590" windowWidth="18880" windowHeight="7240" activeTab="1"/>
  </bookViews>
  <sheets>
    <sheet name="Tabela-consumo" sheetId="1" r:id="rId1"/>
    <sheet name="Projeto" sheetId="2" r:id="rId2"/>
    <sheet name="Analise do Investimento" sheetId="3" r:id="rId3"/>
  </sheets>
  <definedNames>
    <definedName name="info_materiais" localSheetId="0">'Tabela-consumo'!$A$4:$I$60</definedName>
  </definedNames>
  <calcPr calcId="124519"/>
  <extLst>
    <ext uri="GoogleSheetsCustomDataVersion1">
      <go:sheetsCustomData xmlns:go="http://customooxmlschemas.google.com/" r:id="" roundtripDataSignature="AMtx7mgFYdnqq+gQMJ/GcdEFXjnq9p280A=="/>
    </ext>
  </extLst>
</workbook>
</file>

<file path=xl/calcChain.xml><?xml version="1.0" encoding="utf-8"?>
<calcChain xmlns="http://schemas.openxmlformats.org/spreadsheetml/2006/main">
  <c r="C24" i="3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23"/>
  <c r="C22"/>
  <c r="C21"/>
  <c r="B21"/>
  <c r="B22" s="1"/>
  <c r="C19"/>
  <c r="E18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B17"/>
  <c r="F15"/>
  <c r="F7"/>
  <c r="E128" i="2"/>
  <c r="E127"/>
  <c r="E126"/>
  <c r="E125"/>
  <c r="E124"/>
  <c r="E123"/>
  <c r="E122"/>
  <c r="E121"/>
  <c r="C109"/>
  <c r="C113" s="1"/>
  <c r="C108"/>
  <c r="C89"/>
  <c r="C88"/>
  <c r="C58"/>
  <c r="C56"/>
  <c r="C54"/>
  <c r="C50"/>
  <c r="C71" s="1"/>
  <c r="C49"/>
  <c r="C102" s="1"/>
  <c r="C37"/>
  <c r="C112" s="1"/>
  <c r="H17"/>
  <c r="E17"/>
  <c r="H16"/>
  <c r="E16"/>
  <c r="H15"/>
  <c r="E15"/>
  <c r="H14"/>
  <c r="E14"/>
  <c r="H13"/>
  <c r="H27" s="1"/>
  <c r="E13"/>
  <c r="E27" s="1"/>
  <c r="C114" l="1"/>
  <c r="C103"/>
  <c r="C38"/>
  <c r="C31"/>
  <c r="C74"/>
  <c r="C95"/>
  <c r="C90"/>
  <c r="C98"/>
  <c r="C73"/>
  <c r="D18" i="3"/>
  <c r="C68" i="2"/>
  <c r="C69" s="1"/>
  <c r="H28"/>
  <c r="C51" s="1"/>
  <c r="C52" s="1"/>
  <c r="C53" s="1"/>
  <c r="B23" i="3"/>
  <c r="C80" i="2"/>
  <c r="C70" l="1"/>
  <c r="C120"/>
  <c r="E120" s="1"/>
  <c r="C72"/>
  <c r="B24" i="3"/>
  <c r="D19"/>
  <c r="B25" l="1"/>
  <c r="E129" i="2"/>
  <c r="D20" i="3"/>
  <c r="C91" i="2"/>
  <c r="C87"/>
  <c r="C75"/>
  <c r="C81" l="1"/>
  <c r="C99"/>
  <c r="D21" i="3"/>
  <c r="B26"/>
  <c r="F25"/>
  <c r="E132" i="2"/>
  <c r="E130"/>
  <c r="F26" i="3" l="1"/>
  <c r="B27"/>
  <c r="G17"/>
  <c r="F128" i="2"/>
  <c r="F122"/>
  <c r="F127"/>
  <c r="C134"/>
  <c r="F126"/>
  <c r="F124"/>
  <c r="F20" i="3"/>
  <c r="G20" s="1"/>
  <c r="F121" i="2"/>
  <c r="F19" i="3"/>
  <c r="G19" s="1"/>
  <c r="F125" i="2"/>
  <c r="F18" i="3"/>
  <c r="G18" s="1"/>
  <c r="F123" i="2"/>
  <c r="F22" i="3"/>
  <c r="F21"/>
  <c r="G21" s="1"/>
  <c r="F23"/>
  <c r="F120" i="2"/>
  <c r="F24" i="3"/>
  <c r="D22"/>
  <c r="I21" l="1"/>
  <c r="J17"/>
  <c r="H17"/>
  <c r="H18"/>
  <c r="I17"/>
  <c r="I19"/>
  <c r="H19"/>
  <c r="H20" s="1"/>
  <c r="H21" s="1"/>
  <c r="F27"/>
  <c r="B28"/>
  <c r="I20"/>
  <c r="G22"/>
  <c r="D23"/>
  <c r="I18"/>
  <c r="J18" l="1"/>
  <c r="J19" s="1"/>
  <c r="J20" s="1"/>
  <c r="J21" s="1"/>
  <c r="D24"/>
  <c r="G23"/>
  <c r="H22"/>
  <c r="I22"/>
  <c r="F28"/>
  <c r="B29"/>
  <c r="J22" l="1"/>
  <c r="D25"/>
  <c r="G24"/>
  <c r="I23"/>
  <c r="H23"/>
  <c r="B30"/>
  <c r="F29"/>
  <c r="J23" l="1"/>
  <c r="H24"/>
  <c r="I24"/>
  <c r="F30"/>
  <c r="B31"/>
  <c r="G25"/>
  <c r="D26"/>
  <c r="J24" l="1"/>
  <c r="F31"/>
  <c r="B32"/>
  <c r="H25"/>
  <c r="I25"/>
  <c r="J25" s="1"/>
  <c r="G26"/>
  <c r="D27"/>
  <c r="J26" l="1"/>
  <c r="H26"/>
  <c r="I26"/>
  <c r="D28"/>
  <c r="G27"/>
  <c r="F32"/>
  <c r="B33"/>
  <c r="D29" l="1"/>
  <c r="G28"/>
  <c r="I27"/>
  <c r="J27" s="1"/>
  <c r="H27"/>
  <c r="B34"/>
  <c r="F33"/>
  <c r="H28" l="1"/>
  <c r="I28"/>
  <c r="J28" s="1"/>
  <c r="G29"/>
  <c r="D30"/>
  <c r="F34"/>
  <c r="B35"/>
  <c r="H29" l="1"/>
  <c r="I29"/>
  <c r="G30"/>
  <c r="D31"/>
  <c r="J29"/>
  <c r="F35"/>
  <c r="B36"/>
  <c r="D32" l="1"/>
  <c r="G31"/>
  <c r="F36"/>
  <c r="B37"/>
  <c r="H30"/>
  <c r="I30"/>
  <c r="J30" s="1"/>
  <c r="D33" l="1"/>
  <c r="G32"/>
  <c r="I31"/>
  <c r="J31" s="1"/>
  <c r="H31"/>
  <c r="B38"/>
  <c r="F37"/>
  <c r="F38" l="1"/>
  <c r="B39"/>
  <c r="G33"/>
  <c r="D34"/>
  <c r="H32"/>
  <c r="I32"/>
  <c r="J32" s="1"/>
  <c r="G34" l="1"/>
  <c r="D35"/>
  <c r="F39"/>
  <c r="B40"/>
  <c r="I33"/>
  <c r="J33" s="1"/>
  <c r="H33"/>
  <c r="J34" l="1"/>
  <c r="F40"/>
  <c r="B41"/>
  <c r="D36"/>
  <c r="G35"/>
  <c r="H34"/>
  <c r="I34"/>
  <c r="I35" l="1"/>
  <c r="J35" s="1"/>
  <c r="H35"/>
  <c r="B42"/>
  <c r="F42" s="1"/>
  <c r="F41"/>
  <c r="D37"/>
  <c r="G36"/>
  <c r="G37" l="1"/>
  <c r="D38"/>
  <c r="H36"/>
  <c r="I36"/>
  <c r="J36" s="1"/>
  <c r="G38" l="1"/>
  <c r="D39"/>
  <c r="H37"/>
  <c r="I37"/>
  <c r="J37" s="1"/>
  <c r="H38" l="1"/>
  <c r="I38"/>
  <c r="J38" s="1"/>
  <c r="D40"/>
  <c r="G39"/>
  <c r="D41" l="1"/>
  <c r="G40"/>
  <c r="I39"/>
  <c r="J39" s="1"/>
  <c r="H39"/>
  <c r="G41" l="1"/>
  <c r="D42"/>
  <c r="G42" s="1"/>
  <c r="H40"/>
  <c r="I40"/>
  <c r="J40" s="1"/>
  <c r="I42" l="1"/>
  <c r="J48"/>
  <c r="H41"/>
  <c r="H42" s="1"/>
  <c r="I41"/>
  <c r="J41" s="1"/>
  <c r="J42" s="1"/>
  <c r="J45" s="1"/>
</calcChain>
</file>

<file path=xl/sharedStrings.xml><?xml version="1.0" encoding="utf-8"?>
<sst xmlns="http://schemas.openxmlformats.org/spreadsheetml/2006/main" count="345" uniqueCount="266">
  <si>
    <t>Tabela de consumo de eletrodomésticos (dados médios) [1]</t>
  </si>
  <si>
    <t>Aparelho Eletrodoméstico</t>
  </si>
  <si>
    <t>Potencia</t>
  </si>
  <si>
    <t>Dias estimados Uso/mês</t>
  </si>
  <si>
    <t>Média utilização/dia</t>
  </si>
  <si>
    <t>grandeza</t>
  </si>
  <si>
    <t>Consumo médio (kwh/mês)</t>
  </si>
  <si>
    <t>Aparelho de Blu-Ray</t>
  </si>
  <si>
    <t>h</t>
  </si>
  <si>
    <t>Aparelho de DVD</t>
  </si>
  <si>
    <t>Afiador de facas</t>
  </si>
  <si>
    <t>min</t>
  </si>
  <si>
    <t>Aparelho de som 3 em 1</t>
  </si>
  <si>
    <t>Ar-condicionado tipo Janela de 90000-140000 BTU</t>
  </si>
  <si>
    <t>Aspirador de pó</t>
  </si>
  <si>
    <t>Cafeteira elétrica</t>
  </si>
  <si>
    <t>Churrasqueira</t>
  </si>
  <si>
    <t>Chuveiro elétrico 3500W</t>
  </si>
  <si>
    <t>Chuveiro elétrico 4500W</t>
  </si>
  <si>
    <t>Chuveiro elétrico 5000W</t>
  </si>
  <si>
    <t>Circulador de ar grande</t>
  </si>
  <si>
    <t>Circulador de ar pequeno/medio</t>
  </si>
  <si>
    <t>Computador</t>
  </si>
  <si>
    <t>Decodificador TV a cabo stand-by</t>
  </si>
  <si>
    <t>Enceradeira</t>
  </si>
  <si>
    <t>Espremedor de frutas</t>
  </si>
  <si>
    <t>Exaustor fogão</t>
  </si>
  <si>
    <t>Forno micro-ondas</t>
  </si>
  <si>
    <t>Freezer vertical/horizontal</t>
  </si>
  <si>
    <t>Frigobar</t>
  </si>
  <si>
    <t xml:space="preserve">Geladeira 1 porta </t>
  </si>
  <si>
    <t>Geladeira 1 porta Fros free</t>
  </si>
  <si>
    <t>Geladeira 2 portas</t>
  </si>
  <si>
    <t>Geladeira 2 portas fros free (57 litros)</t>
  </si>
  <si>
    <t>Home Theater 350W</t>
  </si>
  <si>
    <t>Impressora</t>
  </si>
  <si>
    <t>lampada incandescente 40W</t>
  </si>
  <si>
    <t>lampada incandescente 60W</t>
  </si>
  <si>
    <t>lampada incandescente 100W</t>
  </si>
  <si>
    <t>lampada fluorescente compacta 11W</t>
  </si>
  <si>
    <t>lampada fluorescente compacta 15W</t>
  </si>
  <si>
    <t>lampada fluorescente compacta 23W</t>
  </si>
  <si>
    <t>lampada de Led 8W</t>
  </si>
  <si>
    <t>lampada de Led 12W</t>
  </si>
  <si>
    <t>lampada fluorescente tubular 16W</t>
  </si>
  <si>
    <t>lampada fluorescente tubular 32W</t>
  </si>
  <si>
    <t>lampada fluorescente tubular 11W</t>
  </si>
  <si>
    <t xml:space="preserve">Lavadora de louças </t>
  </si>
  <si>
    <t xml:space="preserve">Lavadora de roupas </t>
  </si>
  <si>
    <t>Liquidificador 300 15 15 min 1,10</t>
  </si>
  <si>
    <t>Liquidificador</t>
  </si>
  <si>
    <t>Modem de internet stand-by</t>
  </si>
  <si>
    <t>Modem de internet</t>
  </si>
  <si>
    <t>Monitor LCD</t>
  </si>
  <si>
    <t>Notebook</t>
  </si>
  <si>
    <t>Roteador</t>
  </si>
  <si>
    <t>TV Plasma 42"</t>
  </si>
  <si>
    <t>TV Plasma 50"</t>
  </si>
  <si>
    <t>TV LCD 32"</t>
  </si>
  <si>
    <t>TV LCD 42"</t>
  </si>
  <si>
    <t>TV LED 32"</t>
  </si>
  <si>
    <t>TV LED 42"</t>
  </si>
  <si>
    <t>Ventilador de teto</t>
  </si>
  <si>
    <t>Ventilador pequeno</t>
  </si>
  <si>
    <t xml:space="preserve">[1] Energia Inteligente - Guia do Melhor consumo. 
Dicas de economia de energia e segurança com a rede elétrica
</t>
  </si>
  <si>
    <t>Companhia Elétrica de Minas Gerais, CEMIG</t>
  </si>
  <si>
    <t>Observação: O consumo das geladeiras é valor médio</t>
  </si>
  <si>
    <r>
      <t>D</t>
    </r>
    <r>
      <rPr>
        <sz val="18"/>
        <color rgb="FF000000"/>
        <rFont val="Arial Black"/>
      </rPr>
      <t>imensionamento de sistema fotovoltaico OFF-GRID</t>
    </r>
  </si>
  <si>
    <t>Legenda</t>
  </si>
  <si>
    <t>Dados que podem ser alterados</t>
  </si>
  <si>
    <t>Dados que não podem ser alterados</t>
  </si>
  <si>
    <t>Dados que devem ser obtidos usando curvas</t>
  </si>
  <si>
    <t>Passo 1: Previsão da Carga (Energia e Potência)</t>
  </si>
  <si>
    <t>Carga</t>
  </si>
  <si>
    <t>Consumo/mês (kwh)</t>
  </si>
  <si>
    <t>Equipamento</t>
  </si>
  <si>
    <t>Qde</t>
  </si>
  <si>
    <t>Pot(W)</t>
  </si>
  <si>
    <t>subtotal(W)</t>
  </si>
  <si>
    <t>Dias de Uso</t>
  </si>
  <si>
    <t>Horas(h)</t>
  </si>
  <si>
    <t>=QdexPotxUsoxHoras</t>
  </si>
  <si>
    <t>Lâmpada led 12W</t>
  </si>
  <si>
    <t>Geladeira fros-free (57 litros) 2portas</t>
  </si>
  <si>
    <t>TV LED (32'')</t>
  </si>
  <si>
    <t>Maq. Lav. Roupa</t>
  </si>
  <si>
    <t>W</t>
  </si>
  <si>
    <r>
      <t>Energia Mensal (E</t>
    </r>
    <r>
      <rPr>
        <sz val="9"/>
        <color rgb="FF000000"/>
        <rFont val="Arial"/>
      </rPr>
      <t>M</t>
    </r>
    <r>
      <rPr>
        <sz val="11"/>
        <color rgb="FF000000"/>
        <rFont val="Arial"/>
      </rPr>
      <t>)</t>
    </r>
  </si>
  <si>
    <t>[Kwh/mês]</t>
  </si>
  <si>
    <r>
      <t>Energia Diária (E</t>
    </r>
    <r>
      <rPr>
        <sz val="9"/>
        <color rgb="FF000000"/>
        <rFont val="Arial"/>
      </rPr>
      <t>D</t>
    </r>
    <r>
      <rPr>
        <sz val="11"/>
        <color rgb="FF000000"/>
        <rFont val="Arial"/>
      </rPr>
      <t>)</t>
    </r>
  </si>
  <si>
    <t>[Kwh/dia]</t>
  </si>
  <si>
    <r>
      <t>Tensão da carga (V</t>
    </r>
    <r>
      <rPr>
        <b/>
        <sz val="8"/>
        <color rgb="FF000000"/>
        <rFont val="Arial"/>
      </rPr>
      <t>CA</t>
    </r>
    <r>
      <rPr>
        <b/>
        <sz val="11"/>
        <color rgb="FF000000"/>
        <rFont val="Arial"/>
      </rPr>
      <t>):127/220V</t>
    </r>
  </si>
  <si>
    <t>V</t>
  </si>
  <si>
    <r>
      <t>Fator de potência (cos</t>
    </r>
    <r>
      <rPr>
        <b/>
        <sz val="11"/>
        <color rgb="FF000000"/>
        <rFont val="Symbol"/>
      </rPr>
      <t>f</t>
    </r>
    <r>
      <rPr>
        <b/>
        <sz val="11"/>
        <color rgb="FF000000"/>
        <rFont val="Arial"/>
      </rPr>
      <t>)</t>
    </r>
  </si>
  <si>
    <t>O fator de potência depende do tipo de carga e pode ser alterado entre [0,85-1]</t>
  </si>
  <si>
    <r>
      <t>Corrente da carga (I</t>
    </r>
    <r>
      <rPr>
        <b/>
        <sz val="8"/>
        <color rgb="FF000000"/>
        <rFont val="Arial"/>
      </rPr>
      <t>CA</t>
    </r>
    <r>
      <rPr>
        <b/>
        <sz val="11"/>
        <color rgb="FF000000"/>
        <rFont val="Arial"/>
      </rPr>
      <t>)</t>
    </r>
  </si>
  <si>
    <t>Passo 2: Dimensionamento do Inversor Fotovoltaico Off-grid</t>
  </si>
  <si>
    <t>Tensão de entrada (CC):12/24/48V</t>
  </si>
  <si>
    <t>Tensão de entrado do inversor que é igual a tensão do banco de baterias.</t>
  </si>
  <si>
    <t>Eficiência do inversor preliminar</t>
  </si>
  <si>
    <t>Inicialmente pode-se considerar um valor de 0,85 e após escolher o inversor, pode-se atualizar.</t>
  </si>
  <si>
    <t>Tensão de saída (CA):127/220V</t>
  </si>
  <si>
    <t>Tensão da saída do inversor que é igual a tensão na carga</t>
  </si>
  <si>
    <t>Potência do inversor</t>
  </si>
  <si>
    <t>Deve escolher-se um inversor maior que a potência aqui descrita</t>
  </si>
  <si>
    <t>Passo 3: Dimensionamento do Banco de Baterias</t>
  </si>
  <si>
    <t>Marca da Bateria</t>
  </si>
  <si>
    <t>DF2500</t>
  </si>
  <si>
    <t>Esta informação não é necessária para os cálculos, apenas para conhecimento.</t>
  </si>
  <si>
    <r>
      <t>Tensão da Bateria (V</t>
    </r>
    <r>
      <rPr>
        <b/>
        <sz val="8"/>
        <color rgb="FF000000"/>
        <rFont val="Arial"/>
      </rPr>
      <t>BAT</t>
    </r>
    <r>
      <rPr>
        <b/>
        <sz val="11"/>
        <color rgb="FF000000"/>
        <rFont val="Arial"/>
      </rPr>
      <t>)</t>
    </r>
  </si>
  <si>
    <t>Capacidade de Bateria C20 (Ah)</t>
  </si>
  <si>
    <t>Ah</t>
  </si>
  <si>
    <t>Escolhe-se C20 mais próximo do real. Outra opção seria C10, mas é menos conservador). Exemplo Freedom DF2500.</t>
  </si>
  <si>
    <t>Dias de Autonomia (Da)</t>
  </si>
  <si>
    <t>dias</t>
  </si>
  <si>
    <r>
      <t>Profundidade de Descarga (P</t>
    </r>
    <r>
      <rPr>
        <b/>
        <sz val="9"/>
        <color rgb="FF000000"/>
        <rFont val="Arial"/>
      </rPr>
      <t>D</t>
    </r>
    <r>
      <rPr>
        <b/>
        <sz val="11"/>
        <color rgb="FF000000"/>
        <rFont val="Arial"/>
      </rPr>
      <t>)</t>
    </r>
  </si>
  <si>
    <t>Quanto maior a profundidade a bateria durará mais, porém o custo do sistema aumenta</t>
  </si>
  <si>
    <r>
      <t>Temperatura de Operação Real (T</t>
    </r>
    <r>
      <rPr>
        <b/>
        <sz val="8"/>
        <color rgb="FF000000"/>
        <rFont val="Arial"/>
      </rPr>
      <t>OP</t>
    </r>
    <r>
      <rPr>
        <b/>
        <sz val="11"/>
        <color rgb="FF000000"/>
        <rFont val="Arial"/>
      </rPr>
      <t>)</t>
    </r>
  </si>
  <si>
    <t>°C</t>
  </si>
  <si>
    <t>Se não souber coloque 25°C. Esta informação não influencia nos cálculos</t>
  </si>
  <si>
    <r>
      <t>Tensão Bco de Baterias (V</t>
    </r>
    <r>
      <rPr>
        <b/>
        <sz val="8"/>
        <color rgb="FF000000"/>
        <rFont val="Arial"/>
      </rPr>
      <t>BCOBAT</t>
    </r>
    <r>
      <rPr>
        <b/>
        <sz val="11"/>
        <color rgb="FF000000"/>
        <rFont val="Arial"/>
      </rPr>
      <t>)</t>
    </r>
  </si>
  <si>
    <t>A tensão no Banco de Bateria é igual a tensão de entrada do Inversor Fotovoltaico</t>
  </si>
  <si>
    <r>
      <t>N° Baterias em Série (N</t>
    </r>
    <r>
      <rPr>
        <b/>
        <sz val="9"/>
        <color rgb="FF000000"/>
        <rFont val="Arial"/>
      </rPr>
      <t>BATS</t>
    </r>
    <r>
      <rPr>
        <b/>
        <sz val="11"/>
        <color rgb="FF000000"/>
        <rFont val="Arial"/>
      </rPr>
      <t>)</t>
    </r>
  </si>
  <si>
    <t xml:space="preserve">As baterias padrão tem 12V. </t>
  </si>
  <si>
    <r>
      <t>Capacidade do BCO de Baterias (C</t>
    </r>
    <r>
      <rPr>
        <b/>
        <sz val="8"/>
        <color rgb="FF000000"/>
        <rFont val="Arial"/>
      </rPr>
      <t>BCOBAT</t>
    </r>
    <r>
      <rPr>
        <b/>
        <sz val="10"/>
        <color rgb="FF000000"/>
        <rFont val="Arial"/>
      </rPr>
      <t>)</t>
    </r>
  </si>
  <si>
    <r>
      <t>N°Fileiras Baterias Paralello (N</t>
    </r>
    <r>
      <rPr>
        <b/>
        <sz val="9"/>
        <color rgb="FF000000"/>
        <rFont val="Arial"/>
      </rPr>
      <t>FILBAT</t>
    </r>
    <r>
      <rPr>
        <b/>
        <sz val="11"/>
        <color rgb="FF000000"/>
        <rFont val="Arial"/>
      </rPr>
      <t>)</t>
    </r>
  </si>
  <si>
    <r>
      <t>N° Total de Baterias (N</t>
    </r>
    <r>
      <rPr>
        <b/>
        <sz val="9"/>
        <color rgb="FF000000"/>
        <rFont val="Arial"/>
      </rPr>
      <t>TBAT</t>
    </r>
    <r>
      <rPr>
        <b/>
        <sz val="11"/>
        <color rgb="FF000000"/>
        <rFont val="Arial"/>
      </rPr>
      <t>)</t>
    </r>
  </si>
  <si>
    <r>
      <t>Prof. de descarga aparente do Bco (P</t>
    </r>
    <r>
      <rPr>
        <b/>
        <sz val="8"/>
        <color rgb="FF000000"/>
        <rFont val="Arial"/>
      </rPr>
      <t>DAPA</t>
    </r>
    <r>
      <rPr>
        <b/>
        <sz val="11"/>
        <color rgb="FF000000"/>
        <rFont val="Arial"/>
      </rPr>
      <t>)</t>
    </r>
  </si>
  <si>
    <t>Esta informação é apenas válida para o cálculo da vida útil</t>
  </si>
  <si>
    <r>
      <t>Ciclos de vida aprox. a 25°C (CV</t>
    </r>
    <r>
      <rPr>
        <b/>
        <sz val="8"/>
        <color rgb="FF000000"/>
        <rFont val="Arial"/>
      </rPr>
      <t>BCO</t>
    </r>
    <r>
      <rPr>
        <b/>
        <sz val="12"/>
        <color rgb="FF000000"/>
        <rFont val="Arial"/>
      </rPr>
      <t>)</t>
    </r>
  </si>
  <si>
    <t>ciclos</t>
  </si>
  <si>
    <r>
      <t>Dado P</t>
    </r>
    <r>
      <rPr>
        <sz val="8"/>
        <color rgb="FF000000"/>
        <rFont val="Arial"/>
      </rPr>
      <t>DBCO</t>
    </r>
    <r>
      <rPr>
        <sz val="11"/>
        <color rgb="FF000000"/>
        <rFont val="Arial"/>
      </rPr>
      <t>, usa-se as curva "Profundidade de descarga x Ciclos de Vida " do fabricante</t>
    </r>
  </si>
  <si>
    <r>
      <t>Anos de vida a 25°C  (AV</t>
    </r>
    <r>
      <rPr>
        <b/>
        <sz val="8"/>
        <color rgb="FF000000"/>
        <rFont val="Arial"/>
      </rPr>
      <t>BCO</t>
    </r>
    <r>
      <rPr>
        <b/>
        <sz val="11"/>
        <color rgb="FF000000"/>
        <rFont val="Arial"/>
      </rPr>
      <t>)</t>
    </r>
  </si>
  <si>
    <t>anos</t>
  </si>
  <si>
    <r>
      <t>Projeção de vida útil a Top°C (PV</t>
    </r>
    <r>
      <rPr>
        <b/>
        <sz val="8"/>
        <color rgb="FF000000"/>
        <rFont val="Arial"/>
      </rPr>
      <t>UT</t>
    </r>
    <r>
      <rPr>
        <b/>
        <sz val="12"/>
        <color rgb="FF000000"/>
        <rFont val="Arial"/>
      </rPr>
      <t>)</t>
    </r>
  </si>
  <si>
    <t>Dado a temperatur,Top, usa-se as curva "Temperatura x Vida Útil " do fabricante</t>
  </si>
  <si>
    <r>
      <t>Anos de vida útil a Top°C (AV</t>
    </r>
    <r>
      <rPr>
        <b/>
        <sz val="8"/>
        <color rgb="FF000000"/>
        <rFont val="Arial"/>
      </rPr>
      <t>BCOT</t>
    </r>
    <r>
      <rPr>
        <b/>
        <sz val="11"/>
        <color rgb="FF000000"/>
        <rFont val="Arial"/>
      </rPr>
      <t>)</t>
    </r>
  </si>
  <si>
    <t>Passo 4: Dimensionamento do Arranjo Fotovoltaico</t>
  </si>
  <si>
    <t>Modelo</t>
  </si>
  <si>
    <t>Não é necessário par os cálculos</t>
  </si>
  <si>
    <t xml:space="preserve">Radiação Solar do Lugar (GHI) </t>
  </si>
  <si>
    <t>kWh/m2*dia</t>
  </si>
  <si>
    <t>Depende da latitude e da longitude do lugar (www.cresesb.cepel.br)</t>
  </si>
  <si>
    <r>
      <t>Eficiência do sistema fotovoltaico (</t>
    </r>
    <r>
      <rPr>
        <b/>
        <sz val="11"/>
        <color rgb="FF000000"/>
        <rFont val="Arial"/>
      </rPr>
      <t>η)</t>
    </r>
  </si>
  <si>
    <t>[0,8-0,9]</t>
  </si>
  <si>
    <t xml:space="preserve">Deve incluir as perdas do inversor, perdas térmicas e outros. </t>
  </si>
  <si>
    <t>Potência do painel offgrid</t>
  </si>
  <si>
    <t>A potência dos painéis offgrid geralmente são inferiores a 160W.</t>
  </si>
  <si>
    <r>
      <t>I</t>
    </r>
    <r>
      <rPr>
        <b/>
        <sz val="9"/>
        <color rgb="FF000000"/>
        <rFont val="Arial"/>
      </rPr>
      <t xml:space="preserve">SC </t>
    </r>
    <r>
      <rPr>
        <b/>
        <sz val="11"/>
        <color rgb="FF000000"/>
        <rFont val="Arial"/>
      </rPr>
      <t>(A) do Painel fotovoltaico</t>
    </r>
  </si>
  <si>
    <t>A</t>
  </si>
  <si>
    <t>Corrente de Curto Circuito do Módulo Fotovoltaico a STC</t>
  </si>
  <si>
    <r>
      <t>V</t>
    </r>
    <r>
      <rPr>
        <b/>
        <sz val="9"/>
        <color rgb="FF000000"/>
        <rFont val="Arial"/>
      </rPr>
      <t xml:space="preserve">OC </t>
    </r>
    <r>
      <rPr>
        <b/>
        <sz val="11"/>
        <color rgb="FF000000"/>
        <rFont val="Arial"/>
      </rPr>
      <t>(V) do Painel fotovoltaico</t>
    </r>
  </si>
  <si>
    <t>Tensao em Circuito Aberto do Módulo Fotovoltaico a STC</t>
  </si>
  <si>
    <t>Vmpp(V) do painel fotovoltaico</t>
  </si>
  <si>
    <t>Potência Fotovoltaica corrigida</t>
  </si>
  <si>
    <t>N° Módulos (Paineis) total</t>
  </si>
  <si>
    <t>Potência Fotovoltaica Instalada Real</t>
  </si>
  <si>
    <r>
      <t>N° Módulos em Série (M</t>
    </r>
    <r>
      <rPr>
        <b/>
        <sz val="8"/>
        <color rgb="FF000000"/>
        <rFont val="Arial"/>
      </rPr>
      <t>MODS</t>
    </r>
    <r>
      <rPr>
        <b/>
        <sz val="11"/>
        <color rgb="FF000000"/>
        <rFont val="Arial"/>
      </rPr>
      <t>)</t>
    </r>
  </si>
  <si>
    <r>
      <t>N° Fileiras Módulos paralelo (M</t>
    </r>
    <r>
      <rPr>
        <b/>
        <sz val="8"/>
        <color rgb="FF000000"/>
        <rFont val="Arial"/>
      </rPr>
      <t>FILMOD</t>
    </r>
    <r>
      <rPr>
        <b/>
        <sz val="11"/>
        <color rgb="FF000000"/>
        <rFont val="Arial"/>
      </rPr>
      <t>)</t>
    </r>
  </si>
  <si>
    <r>
      <t>Tensão de Operação do SF (V</t>
    </r>
    <r>
      <rPr>
        <b/>
        <sz val="8"/>
        <color rgb="FF000000"/>
        <rFont val="Arial"/>
      </rPr>
      <t>FVMPP</t>
    </r>
    <r>
      <rPr>
        <b/>
        <sz val="11"/>
        <color rgb="FF000000"/>
        <rFont val="Arial"/>
      </rPr>
      <t>)</t>
    </r>
  </si>
  <si>
    <r>
      <t>Máxima Tensão na saída do SF (V</t>
    </r>
    <r>
      <rPr>
        <b/>
        <sz val="8"/>
        <color rgb="FF000000"/>
        <rFont val="Arial"/>
      </rPr>
      <t>FVMAX</t>
    </r>
    <r>
      <rPr>
        <b/>
        <sz val="11"/>
        <color rgb="FF000000"/>
        <rFont val="Arial"/>
      </rPr>
      <t>)</t>
    </r>
  </si>
  <si>
    <r>
      <t>Máxima Corrente na saída do SF (I</t>
    </r>
    <r>
      <rPr>
        <b/>
        <sz val="8"/>
        <color rgb="FF000000"/>
        <rFont val="Arial"/>
      </rPr>
      <t>FVMAX</t>
    </r>
    <r>
      <rPr>
        <b/>
        <sz val="11"/>
        <color rgb="FF000000"/>
        <rFont val="Arial"/>
      </rPr>
      <t>)</t>
    </r>
  </si>
  <si>
    <t>Passo 5: Dimensionamento do Controlador de Carga</t>
  </si>
  <si>
    <t>Fator de segurança de corrente (Fs)</t>
  </si>
  <si>
    <t xml:space="preserve">O fator pode ser de 1,2 até 1,3 </t>
  </si>
  <si>
    <r>
      <t>Tensão do controlador (V</t>
    </r>
    <r>
      <rPr>
        <b/>
        <sz val="8"/>
        <color rgb="FF000000"/>
        <rFont val="Arial"/>
      </rPr>
      <t>CONT</t>
    </r>
    <r>
      <rPr>
        <b/>
        <sz val="11"/>
        <color rgb="FF000000"/>
        <rFont val="Arial"/>
      </rPr>
      <t>)</t>
    </r>
  </si>
  <si>
    <r>
      <t>Corrente máxima entrada (I</t>
    </r>
    <r>
      <rPr>
        <b/>
        <sz val="8"/>
        <color rgb="FF000000"/>
        <rFont val="Arial"/>
      </rPr>
      <t>CONT</t>
    </r>
    <r>
      <rPr>
        <b/>
        <sz val="11"/>
        <color rgb="FF000000"/>
        <rFont val="Arial"/>
      </rPr>
      <t>)</t>
    </r>
  </si>
  <si>
    <t>Deve-se especificar um controlador com Vcont e Icont</t>
  </si>
  <si>
    <t>Passo 6: Dispositivos de Poteção</t>
  </si>
  <si>
    <t>a)String box CC: Do Painel até o controlador de carga</t>
  </si>
  <si>
    <t>a.1)Fussiveis Fotovoltaicos Modelo gPV</t>
  </si>
  <si>
    <t>Informação:</t>
  </si>
  <si>
    <t>É necessário Fusível?: sim (1); Não (0)</t>
  </si>
  <si>
    <r>
      <t>A norma NBR 16690/2019 (item 5.3.9) indica que é necessário fusíveis quando (N°circuitos Paralelo-1) x Isc&gt; I max</t>
    </r>
    <r>
      <rPr>
        <sz val="8"/>
        <color rgb="FF000000"/>
        <rFont val="Arial"/>
      </rPr>
      <t>OCPR</t>
    </r>
  </si>
  <si>
    <t>Corrente mínima do Fusível</t>
  </si>
  <si>
    <r>
      <t>Sendo: I</t>
    </r>
    <r>
      <rPr>
        <sz val="9"/>
        <color rgb="FF000000"/>
        <rFont val="Arial"/>
      </rPr>
      <t xml:space="preserve">maxOCPR  </t>
    </r>
    <r>
      <rPr>
        <sz val="11"/>
        <color rgb="FF000000"/>
        <rFont val="Arial"/>
      </rPr>
      <t>a corrente reversa máxima de proteção do módulo que não sempre é disponível no datasheet</t>
    </r>
  </si>
  <si>
    <t>Corrente máxima do fusível</t>
  </si>
  <si>
    <t xml:space="preserve">Tensão mínima do Fusível </t>
  </si>
  <si>
    <t>N° de Fusíveis</t>
  </si>
  <si>
    <t>a.2)DPS Fotovoltaico</t>
  </si>
  <si>
    <t>Classe</t>
  </si>
  <si>
    <t>II</t>
  </si>
  <si>
    <t>Depende onde vai ser colocada. Se é próxima do quadro principal deve ser tipo II. Se for em lugares altos onde tem pararaio, é classe III</t>
  </si>
  <si>
    <t>Tensão mínima do DPS</t>
  </si>
  <si>
    <t>Verificar um DPS comercial</t>
  </si>
  <si>
    <t>a.3)Chave Seccionadora</t>
  </si>
  <si>
    <t>Tensão da chave seccionadora</t>
  </si>
  <si>
    <t>Corrente mínima</t>
  </si>
  <si>
    <t>a.4)Disjuntor CC para a bateria</t>
  </si>
  <si>
    <t>Tensão mínima</t>
  </si>
  <si>
    <t>O disjuntor CC deve ter tensão maior à tensão do banco de baterias</t>
  </si>
  <si>
    <t>Corrente Mínima</t>
  </si>
  <si>
    <t>A corrente do disjuntor CC deve ser maior a corrente solicitada da carga.</t>
  </si>
  <si>
    <t>b)Quadro CA: Do Controlador de carga até a carga</t>
  </si>
  <si>
    <t>b.1) DPS CA</t>
  </si>
  <si>
    <t>Tipo: Monopolar(1) ou Bipolar(2)</t>
  </si>
  <si>
    <t>Tensão mínima do DPS CA</t>
  </si>
  <si>
    <t>b.2) Disjuntor CA</t>
  </si>
  <si>
    <t>Tensão de operação</t>
  </si>
  <si>
    <t>O disjuntor CA deve ter tensão de operação da carga</t>
  </si>
  <si>
    <t>Custo energia kWh/mês (TE +TUSD):</t>
  </si>
  <si>
    <t>Reais/KWh</t>
  </si>
  <si>
    <t>Pode ser encontrado em conta de energia</t>
  </si>
  <si>
    <t xml:space="preserve">                                R$</t>
  </si>
  <si>
    <r>
      <t xml:space="preserve">                        </t>
    </r>
    <r>
      <rPr>
        <b/>
        <sz val="18"/>
        <color rgb="FF000000"/>
        <rFont val="Calibri"/>
      </rPr>
      <t xml:space="preserve">                   </t>
    </r>
    <r>
      <rPr>
        <b/>
        <sz val="14"/>
        <color rgb="FF000000"/>
        <rFont val="Calibri"/>
      </rPr>
      <t xml:space="preserve">  Custos</t>
    </r>
  </si>
  <si>
    <t>Custos do projeto</t>
  </si>
  <si>
    <t>Quantidade</t>
  </si>
  <si>
    <t>Unitário</t>
  </si>
  <si>
    <t>Total</t>
  </si>
  <si>
    <t>Porcentagem</t>
  </si>
  <si>
    <t>Paineis Komaes 150W</t>
  </si>
  <si>
    <t>Inversor offgrid SHI Epever 1000W/24V</t>
  </si>
  <si>
    <t>Controlador de Carga MPPT Triron 40A/24V</t>
  </si>
  <si>
    <t>Baterias Freedom DF 2500</t>
  </si>
  <si>
    <t>DPS fotovoltaico classe II</t>
  </si>
  <si>
    <t>Consultar orçamentos individuais ou de várias empresas</t>
  </si>
  <si>
    <t>Chave seccionadora</t>
  </si>
  <si>
    <t>Disjuntor CC para as baterias</t>
  </si>
  <si>
    <t>Fussíveis gPV 15A</t>
  </si>
  <si>
    <t>Estrutura de fixação</t>
  </si>
  <si>
    <t>Valor do material</t>
  </si>
  <si>
    <t>Transporte 5%(Valor do material)</t>
  </si>
  <si>
    <t>Engenharia e Instalação</t>
  </si>
  <si>
    <t>(foi considerado que você fez a instalação)</t>
  </si>
  <si>
    <t>Valor do investimento:</t>
  </si>
  <si>
    <t xml:space="preserve">                    Avaliação Econômica</t>
  </si>
  <si>
    <t xml:space="preserve">Custo / watt-pico </t>
  </si>
  <si>
    <t>/Wp</t>
  </si>
  <si>
    <t xml:space="preserve"> (Em sistemas offgrid fica em torno de  5 -7 R$/Wp)</t>
  </si>
  <si>
    <t>Empresa Projetista</t>
  </si>
  <si>
    <t>Valores Adotados</t>
  </si>
  <si>
    <t>VALOR</t>
  </si>
  <si>
    <t>Dados que não pode ser alterado</t>
  </si>
  <si>
    <t>custo de Energia</t>
  </si>
  <si>
    <t>R$/kWh</t>
  </si>
  <si>
    <t>Inflação</t>
  </si>
  <si>
    <t>ano</t>
  </si>
  <si>
    <t xml:space="preserve">Perda de eficiencia do painel </t>
  </si>
  <si>
    <t>1º ano</t>
  </si>
  <si>
    <t>Perda de eficiencia do painel (outros anos)</t>
  </si>
  <si>
    <t>2º ano em diante</t>
  </si>
  <si>
    <t>Taxa Mínima de Atratividade</t>
  </si>
  <si>
    <t>Vida útil do inversor</t>
  </si>
  <si>
    <t>Manutenção do Sistema Fotovoltaico</t>
  </si>
  <si>
    <t>Vida útil das baterias</t>
  </si>
  <si>
    <t>Ano</t>
  </si>
  <si>
    <t>Energia Anual Gerada (kWh)</t>
  </si>
  <si>
    <t xml:space="preserve">Custo do kWh </t>
  </si>
  <si>
    <t>Manutenção</t>
  </si>
  <si>
    <t xml:space="preserve">Fluxo de Caixa Anual </t>
  </si>
  <si>
    <t xml:space="preserve">Fluxo de Caixa Acumulado </t>
  </si>
  <si>
    <t xml:space="preserve">Fluxo De Caixa Descontado  </t>
  </si>
  <si>
    <t xml:space="preserve">Fluxo Descontado Acumulado </t>
  </si>
  <si>
    <t>VALOR PRESENTE LÍQUIDO(VPL)</t>
  </si>
  <si>
    <t>TAXA INTERNA DE RETORNO(TIR)</t>
  </si>
  <si>
    <t>é igual a Ifvmax . Fs</t>
  </si>
  <si>
    <t>é igual a tensão do banco de baterias</t>
  </si>
  <si>
    <t>Como regra, se tiver três ou mais circuitos em paralelo, é necessário os fusíveis</t>
  </si>
  <si>
    <t>Verificar um Fusível comercial que cumpra essas características</t>
  </si>
  <si>
    <t>Verificar Chave Seccionadora comercial com essas características</t>
  </si>
  <si>
    <r>
      <t>1,25 P</t>
    </r>
    <r>
      <rPr>
        <b/>
        <sz val="9"/>
        <color theme="1"/>
        <rFont val="Arial"/>
        <family val="2"/>
      </rPr>
      <t>T</t>
    </r>
    <r>
      <rPr>
        <b/>
        <sz val="11"/>
        <color theme="1"/>
        <rFont val="Arial"/>
        <family val="2"/>
      </rPr>
      <t>/(V</t>
    </r>
    <r>
      <rPr>
        <b/>
        <sz val="8"/>
        <color theme="1"/>
        <rFont val="Arial"/>
        <family val="2"/>
      </rPr>
      <t>BCOBAT</t>
    </r>
    <r>
      <rPr>
        <b/>
        <sz val="11"/>
        <color theme="1"/>
        <rFont val="Arial"/>
        <family val="2"/>
      </rPr>
      <t>)</t>
    </r>
  </si>
  <si>
    <t>A corrente do disjuntor é 1,25 Icarga</t>
  </si>
  <si>
    <t>Payback composto</t>
  </si>
  <si>
    <r>
      <t>Potencia Total (P</t>
    </r>
    <r>
      <rPr>
        <b/>
        <sz val="9"/>
        <color theme="1"/>
        <rFont val="Arial"/>
        <family val="2"/>
      </rPr>
      <t>T</t>
    </r>
    <r>
      <rPr>
        <b/>
        <sz val="11"/>
        <color theme="1"/>
        <rFont val="Arial"/>
        <family val="2"/>
      </rPr>
      <t>)</t>
    </r>
  </si>
  <si>
    <r>
      <t>P</t>
    </r>
    <r>
      <rPr>
        <sz val="10"/>
        <color theme="1"/>
        <rFont val="Arial"/>
        <family val="2"/>
      </rPr>
      <t>T/(Vca cos</t>
    </r>
    <r>
      <rPr>
        <sz val="10"/>
        <color theme="1"/>
        <rFont val="Symbol"/>
        <family val="1"/>
        <charset val="2"/>
      </rPr>
      <t>f )</t>
    </r>
  </si>
  <si>
    <t>Versão:11</t>
  </si>
</sst>
</file>

<file path=xl/styles.xml><?xml version="1.0" encoding="utf-8"?>
<styleSheet xmlns="http://schemas.openxmlformats.org/spreadsheetml/2006/main">
  <numFmts count="7">
    <numFmt numFmtId="164" formatCode="0.0"/>
    <numFmt numFmtId="165" formatCode="_-&quot;R$&quot;\ * #,##0.00_-;\-&quot;R$&quot;\ * #,##0.00_-;_-&quot;R$&quot;\ * &quot;-&quot;??_-;_-@"/>
    <numFmt numFmtId="166" formatCode="0.0%"/>
    <numFmt numFmtId="167" formatCode="_-&quot;R$&quot;* #,##0.00_-;\-&quot;R$&quot;* #,##0.00_-;_-&quot;R$&quot;* &quot;-&quot;??_-;_-@"/>
    <numFmt numFmtId="168" formatCode="&quot;R$&quot;#,##0.00"/>
    <numFmt numFmtId="169" formatCode="_-* #,##0_-;\-* #,##0_-;_-* &quot;-&quot;??_-;_-@"/>
    <numFmt numFmtId="170" formatCode="_-* #,##0_-;\-* #,##0_-;_-* \-??_-;_-@"/>
  </numFmts>
  <fonts count="45">
    <font>
      <sz val="11"/>
      <color theme="1"/>
      <name val="Arial"/>
    </font>
    <font>
      <b/>
      <sz val="11"/>
      <color theme="1"/>
      <name val="Arial"/>
    </font>
    <font>
      <b/>
      <sz val="18"/>
      <color theme="1"/>
      <name val="Arial Black"/>
    </font>
    <font>
      <sz val="11"/>
      <name val="Arial"/>
    </font>
    <font>
      <b/>
      <sz val="1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0"/>
      <color theme="1"/>
      <name val="Arial"/>
    </font>
    <font>
      <b/>
      <sz val="10"/>
      <color theme="1"/>
      <name val="Arial"/>
    </font>
    <font>
      <b/>
      <sz val="13"/>
      <color theme="1"/>
      <name val="Calibri"/>
    </font>
    <font>
      <b/>
      <sz val="12"/>
      <color theme="1"/>
      <name val="Calibri"/>
    </font>
    <font>
      <sz val="11"/>
      <color theme="1"/>
      <name val="Roboto"/>
    </font>
    <font>
      <b/>
      <sz val="14"/>
      <color rgb="FF000000"/>
      <name val="Calibri"/>
    </font>
    <font>
      <b/>
      <sz val="20"/>
      <color theme="1"/>
      <name val="Calibri"/>
    </font>
    <font>
      <sz val="11"/>
      <color rgb="FF000000"/>
      <name val="Calibri"/>
    </font>
    <font>
      <b/>
      <i/>
      <sz val="14"/>
      <color rgb="FF000000"/>
      <name val="Calibri"/>
    </font>
    <font>
      <b/>
      <u/>
      <sz val="14"/>
      <color theme="1"/>
      <name val="Calibri"/>
    </font>
    <font>
      <u/>
      <sz val="11"/>
      <color theme="1"/>
      <name val="Calibri"/>
    </font>
    <font>
      <b/>
      <sz val="14"/>
      <color theme="0"/>
      <name val="Calibri"/>
    </font>
    <font>
      <sz val="12"/>
      <color theme="1"/>
      <name val="Calibri"/>
    </font>
    <font>
      <b/>
      <sz val="10"/>
      <color theme="1"/>
      <name val="Calibri"/>
    </font>
    <font>
      <b/>
      <sz val="11"/>
      <color rgb="FF000000"/>
      <name val="Calibri"/>
    </font>
    <font>
      <sz val="10"/>
      <color rgb="FF000000"/>
      <name val="Arimo"/>
    </font>
    <font>
      <sz val="11"/>
      <color theme="0"/>
      <name val="Calibri"/>
    </font>
    <font>
      <b/>
      <sz val="22"/>
      <color theme="1"/>
      <name val="Calibri"/>
    </font>
    <font>
      <sz val="20"/>
      <color theme="1"/>
      <name val="Calibri"/>
    </font>
    <font>
      <sz val="10"/>
      <color theme="1"/>
      <name val="Calibri"/>
    </font>
    <font>
      <sz val="18"/>
      <color rgb="FF000000"/>
      <name val="Arial Black"/>
    </font>
    <font>
      <sz val="9"/>
      <color rgb="FF000000"/>
      <name val="Arial"/>
    </font>
    <font>
      <sz val="11"/>
      <color rgb="FF000000"/>
      <name val="Arial"/>
    </font>
    <font>
      <b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Symbol"/>
    </font>
    <font>
      <b/>
      <sz val="9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sz val="8"/>
      <color rgb="FF000000"/>
      <name val="Arial"/>
    </font>
    <font>
      <b/>
      <sz val="18"/>
      <color rgb="FF000000"/>
      <name val="Calibri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Symbol"/>
      <family val="1"/>
      <charset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5E3D1"/>
        <bgColor rgb="FFF5E3D1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00CCFF"/>
        <bgColor rgb="FF00CCFF"/>
      </patternFill>
    </fill>
    <fill>
      <patternFill patternType="solid">
        <fgColor rgb="FFF8D9AB"/>
        <bgColor rgb="FFF8D9AB"/>
      </patternFill>
    </fill>
    <fill>
      <patternFill patternType="solid">
        <fgColor theme="0"/>
        <bgColor theme="0"/>
      </patternFill>
    </fill>
    <fill>
      <patternFill patternType="solid">
        <fgColor rgb="FF99CC00"/>
        <bgColor rgb="FF99CC00"/>
      </patternFill>
    </fill>
    <fill>
      <patternFill patternType="solid">
        <fgColor rgb="FF92D050"/>
        <bgColor rgb="FFFFFF99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0"/>
      </patternFill>
    </fill>
  </fills>
  <borders count="5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 applyFont="1" applyAlignme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0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3" fontId="0" fillId="0" borderId="1" xfId="0" applyNumberFormat="1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5" fillId="5" borderId="2" xfId="0" applyFont="1" applyFill="1" applyBorder="1" applyAlignment="1"/>
    <xf numFmtId="0" fontId="0" fillId="5" borderId="2" xfId="0" applyFont="1" applyFill="1" applyBorder="1" applyAlignment="1"/>
    <xf numFmtId="0" fontId="0" fillId="5" borderId="2" xfId="0" applyFont="1" applyFill="1" applyBorder="1" applyAlignment="1">
      <alignment horizontal="center"/>
    </xf>
    <xf numFmtId="0" fontId="6" fillId="4" borderId="1" xfId="0" applyFont="1" applyFill="1" applyBorder="1" applyAlignment="1"/>
    <xf numFmtId="0" fontId="0" fillId="0" borderId="0" xfId="0" applyFont="1" applyAlignment="1"/>
    <xf numFmtId="0" fontId="6" fillId="5" borderId="2" xfId="0" applyFont="1" applyFill="1" applyBorder="1" applyAlignment="1"/>
    <xf numFmtId="0" fontId="6" fillId="6" borderId="2" xfId="0" applyFont="1" applyFill="1" applyBorder="1" applyAlignment="1"/>
    <xf numFmtId="0" fontId="1" fillId="4" borderId="2" xfId="0" applyFont="1" applyFill="1" applyBorder="1" applyAlignment="1">
      <alignment horizontal="left"/>
    </xf>
    <xf numFmtId="0" fontId="0" fillId="4" borderId="2" xfId="0" applyFont="1" applyFill="1" applyBorder="1" applyAlignment="1">
      <alignment horizontal="center"/>
    </xf>
    <xf numFmtId="0" fontId="0" fillId="7" borderId="6" xfId="0" applyFont="1" applyFill="1" applyBorder="1" applyAlignment="1">
      <alignment horizontal="center"/>
    </xf>
    <xf numFmtId="0" fontId="0" fillId="7" borderId="7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 wrapText="1"/>
    </xf>
    <xf numFmtId="0" fontId="0" fillId="7" borderId="8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center"/>
    </xf>
    <xf numFmtId="2" fontId="0" fillId="4" borderId="10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left" wrapText="1"/>
    </xf>
    <xf numFmtId="2" fontId="0" fillId="4" borderId="1" xfId="0" applyNumberFormat="1" applyFont="1" applyFill="1" applyBorder="1" applyAlignment="1">
      <alignment horizontal="center"/>
    </xf>
    <xf numFmtId="0" fontId="0" fillId="4" borderId="11" xfId="0" applyFont="1" applyFill="1" applyBorder="1" applyAlignment="1">
      <alignment horizontal="center"/>
    </xf>
    <xf numFmtId="0" fontId="0" fillId="4" borderId="13" xfId="0" applyFont="1" applyFill="1" applyBorder="1" applyAlignment="1">
      <alignment horizontal="center"/>
    </xf>
    <xf numFmtId="0" fontId="0" fillId="4" borderId="15" xfId="0" applyFont="1" applyFill="1" applyBorder="1" applyAlignment="1">
      <alignment horizontal="left"/>
    </xf>
    <xf numFmtId="0" fontId="0" fillId="4" borderId="17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0" fontId="1" fillId="0" borderId="0" xfId="0" applyFont="1" applyAlignment="1"/>
    <xf numFmtId="0" fontId="1" fillId="4" borderId="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left"/>
    </xf>
    <xf numFmtId="0" fontId="1" fillId="4" borderId="20" xfId="0" applyFont="1" applyFill="1" applyBorder="1" applyAlignment="1">
      <alignment horizontal="left"/>
    </xf>
    <xf numFmtId="0" fontId="8" fillId="4" borderId="20" xfId="0" applyFont="1" applyFill="1" applyBorder="1" applyAlignment="1">
      <alignment horizontal="left"/>
    </xf>
    <xf numFmtId="0" fontId="1" fillId="4" borderId="22" xfId="0" applyFont="1" applyFill="1" applyBorder="1" applyAlignment="1">
      <alignment horizontal="left"/>
    </xf>
    <xf numFmtId="0" fontId="1" fillId="6" borderId="16" xfId="0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164" fontId="1" fillId="6" borderId="21" xfId="0" applyNumberFormat="1" applyFont="1" applyFill="1" applyBorder="1" applyAlignment="1">
      <alignment horizontal="center"/>
    </xf>
    <xf numFmtId="0" fontId="9" fillId="4" borderId="2" xfId="0" applyFont="1" applyFill="1" applyBorder="1" applyAlignment="1"/>
    <xf numFmtId="0" fontId="5" fillId="8" borderId="2" xfId="0" applyFont="1" applyFill="1" applyBorder="1" applyAlignment="1">
      <alignment horizontal="center"/>
    </xf>
    <xf numFmtId="0" fontId="0" fillId="0" borderId="23" xfId="0" applyFont="1" applyBorder="1" applyAlignment="1">
      <alignment horizontal="left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left"/>
    </xf>
    <xf numFmtId="0" fontId="0" fillId="0" borderId="27" xfId="0" applyFont="1" applyBorder="1" applyAlignment="1">
      <alignment horizontal="center"/>
    </xf>
    <xf numFmtId="0" fontId="6" fillId="8" borderId="2" xfId="0" applyFont="1" applyFill="1" applyBorder="1" applyAlignment="1"/>
    <xf numFmtId="0" fontId="10" fillId="8" borderId="2" xfId="0" applyFont="1" applyFill="1" applyBorder="1" applyAlignment="1"/>
    <xf numFmtId="0" fontId="6" fillId="9" borderId="14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left"/>
    </xf>
    <xf numFmtId="0" fontId="11" fillId="0" borderId="0" xfId="0" applyFont="1" applyAlignment="1"/>
    <xf numFmtId="0" fontId="6" fillId="8" borderId="2" xfId="0" applyFont="1" applyFill="1" applyBorder="1" applyAlignment="1">
      <alignment horizontal="center"/>
    </xf>
    <xf numFmtId="0" fontId="4" fillId="8" borderId="2" xfId="0" applyFont="1" applyFill="1" applyBorder="1" applyAlignment="1"/>
    <xf numFmtId="0" fontId="6" fillId="8" borderId="2" xfId="0" applyFont="1" applyFill="1" applyBorder="1" applyAlignment="1">
      <alignment horizontal="right"/>
    </xf>
    <xf numFmtId="165" fontId="6" fillId="8" borderId="2" xfId="0" applyNumberFormat="1" applyFont="1" applyFill="1" applyBorder="1" applyAlignment="1"/>
    <xf numFmtId="0" fontId="12" fillId="0" borderId="0" xfId="0" applyFont="1" applyAlignment="1">
      <alignment horizontal="center"/>
    </xf>
    <xf numFmtId="0" fontId="13" fillId="4" borderId="2" xfId="0" applyFont="1" applyFill="1" applyBorder="1" applyAlignment="1"/>
    <xf numFmtId="0" fontId="5" fillId="4" borderId="2" xfId="0" applyFont="1" applyFill="1" applyBorder="1" applyAlignment="1">
      <alignment horizontal="left"/>
    </xf>
    <xf numFmtId="0" fontId="5" fillId="4" borderId="2" xfId="0" applyFont="1" applyFill="1" applyBorder="1" applyAlignment="1"/>
    <xf numFmtId="165" fontId="6" fillId="4" borderId="2" xfId="0" applyNumberFormat="1" applyFont="1" applyFill="1" applyBorder="1" applyAlignment="1"/>
    <xf numFmtId="0" fontId="10" fillId="4" borderId="2" xfId="0" applyFont="1" applyFill="1" applyBorder="1" applyAlignment="1"/>
    <xf numFmtId="0" fontId="10" fillId="4" borderId="2" xfId="0" applyFont="1" applyFill="1" applyBorder="1" applyAlignment="1">
      <alignment horizontal="right"/>
    </xf>
    <xf numFmtId="0" fontId="14" fillId="8" borderId="2" xfId="0" applyFont="1" applyFill="1" applyBorder="1" applyAlignment="1">
      <alignment horizontal="center"/>
    </xf>
    <xf numFmtId="0" fontId="5" fillId="8" borderId="1" xfId="0" applyFont="1" applyFill="1" applyBorder="1" applyAlignment="1"/>
    <xf numFmtId="1" fontId="6" fillId="4" borderId="1" xfId="0" applyNumberFormat="1" applyFont="1" applyFill="1" applyBorder="1" applyAlignment="1">
      <alignment horizontal="right"/>
    </xf>
    <xf numFmtId="165" fontId="6" fillId="9" borderId="1" xfId="0" applyNumberFormat="1" applyFont="1" applyFill="1" applyBorder="1" applyAlignment="1">
      <alignment horizontal="right"/>
    </xf>
    <xf numFmtId="165" fontId="6" fillId="8" borderId="1" xfId="0" applyNumberFormat="1" applyFont="1" applyFill="1" applyBorder="1" applyAlignment="1"/>
    <xf numFmtId="166" fontId="6" fillId="8" borderId="2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right"/>
    </xf>
    <xf numFmtId="0" fontId="15" fillId="0" borderId="0" xfId="0" applyFont="1" applyAlignment="1">
      <alignment horizontal="center" vertical="center" readingOrder="1"/>
    </xf>
    <xf numFmtId="0" fontId="6" fillId="4" borderId="1" xfId="0" applyFont="1" applyFill="1" applyBorder="1" applyAlignment="1">
      <alignment horizontal="right"/>
    </xf>
    <xf numFmtId="0" fontId="4" fillId="8" borderId="1" xfId="0" applyFont="1" applyFill="1" applyBorder="1" applyAlignment="1"/>
    <xf numFmtId="0" fontId="6" fillId="0" borderId="0" xfId="0" applyFont="1" applyAlignment="1">
      <alignment horizontal="center"/>
    </xf>
    <xf numFmtId="0" fontId="5" fillId="8" borderId="2" xfId="0" applyFont="1" applyFill="1" applyBorder="1" applyAlignment="1"/>
    <xf numFmtId="165" fontId="6" fillId="8" borderId="2" xfId="0" applyNumberFormat="1" applyFont="1" applyFill="1" applyBorder="1" applyAlignment="1">
      <alignment horizontal="right"/>
    </xf>
    <xf numFmtId="0" fontId="14" fillId="8" borderId="2" xfId="0" applyFont="1" applyFill="1" applyBorder="1" applyAlignment="1">
      <alignment horizontal="left"/>
    </xf>
    <xf numFmtId="165" fontId="10" fillId="8" borderId="2" xfId="0" applyNumberFormat="1" applyFont="1" applyFill="1" applyBorder="1" applyAlignment="1"/>
    <xf numFmtId="0" fontId="13" fillId="4" borderId="2" xfId="0" applyFont="1" applyFill="1" applyBorder="1" applyAlignment="1">
      <alignment horizontal="left"/>
    </xf>
    <xf numFmtId="167" fontId="6" fillId="4" borderId="2" xfId="0" applyNumberFormat="1" applyFont="1" applyFill="1" applyBorder="1" applyAlignment="1">
      <alignment horizontal="right"/>
    </xf>
    <xf numFmtId="0" fontId="6" fillId="8" borderId="2" xfId="0" applyFont="1" applyFill="1" applyBorder="1" applyAlignment="1">
      <alignment horizontal="left"/>
    </xf>
    <xf numFmtId="167" fontId="6" fillId="8" borderId="2" xfId="0" applyNumberFormat="1" applyFont="1" applyFill="1" applyBorder="1" applyAlignment="1">
      <alignment horizontal="right"/>
    </xf>
    <xf numFmtId="0" fontId="16" fillId="8" borderId="1" xfId="0" applyFont="1" applyFill="1" applyBorder="1" applyAlignment="1"/>
    <xf numFmtId="0" fontId="4" fillId="8" borderId="28" xfId="0" applyFont="1" applyFill="1" applyBorder="1" applyAlignment="1"/>
    <xf numFmtId="0" fontId="17" fillId="8" borderId="2" xfId="0" applyFont="1" applyFill="1" applyBorder="1" applyAlignment="1"/>
    <xf numFmtId="10" fontId="6" fillId="8" borderId="2" xfId="0" applyNumberFormat="1" applyFont="1" applyFill="1" applyBorder="1" applyAlignment="1"/>
    <xf numFmtId="2" fontId="6" fillId="8" borderId="2" xfId="0" applyNumberFormat="1" applyFont="1" applyFill="1" applyBorder="1" applyAlignment="1"/>
    <xf numFmtId="0" fontId="6" fillId="0" borderId="29" xfId="0" applyFont="1" applyBorder="1" applyAlignment="1"/>
    <xf numFmtId="0" fontId="6" fillId="0" borderId="30" xfId="0" applyFont="1" applyBorder="1" applyAlignment="1"/>
    <xf numFmtId="0" fontId="6" fillId="0" borderId="31" xfId="0" applyFont="1" applyBorder="1" applyAlignment="1"/>
    <xf numFmtId="0" fontId="18" fillId="8" borderId="2" xfId="0" applyFont="1" applyFill="1" applyBorder="1" applyAlignment="1">
      <alignment horizontal="center" vertical="center"/>
    </xf>
    <xf numFmtId="0" fontId="5" fillId="0" borderId="0" xfId="0" applyFont="1" applyAlignment="1"/>
    <xf numFmtId="0" fontId="6" fillId="0" borderId="0" xfId="0" applyFont="1" applyAlignment="1"/>
    <xf numFmtId="0" fontId="6" fillId="9" borderId="6" xfId="0" applyFont="1" applyFill="1" applyBorder="1" applyAlignment="1"/>
    <xf numFmtId="0" fontId="6" fillId="4" borderId="14" xfId="0" applyFont="1" applyFill="1" applyBorder="1" applyAlignment="1"/>
    <xf numFmtId="0" fontId="19" fillId="2" borderId="19" xfId="0" applyFont="1" applyFill="1" applyBorder="1" applyAlignment="1">
      <alignment horizontal="left" vertical="center"/>
    </xf>
    <xf numFmtId="0" fontId="6" fillId="2" borderId="32" xfId="0" applyFont="1" applyFill="1" applyBorder="1" applyAlignment="1"/>
    <xf numFmtId="0" fontId="6" fillId="2" borderId="33" xfId="0" applyFont="1" applyFill="1" applyBorder="1" applyAlignment="1"/>
    <xf numFmtId="0" fontId="19" fillId="9" borderId="34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6" fillId="2" borderId="35" xfId="0" applyFont="1" applyFill="1" applyBorder="1" applyAlignment="1"/>
    <xf numFmtId="0" fontId="6" fillId="2" borderId="36" xfId="0" applyFont="1" applyFill="1" applyBorder="1" applyAlignment="1"/>
    <xf numFmtId="9" fontId="19" fillId="4" borderId="37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/>
    <xf numFmtId="0" fontId="6" fillId="2" borderId="38" xfId="0" applyFont="1" applyFill="1" applyBorder="1" applyAlignment="1"/>
    <xf numFmtId="0" fontId="6" fillId="2" borderId="2" xfId="0" applyFont="1" applyFill="1" applyBorder="1" applyAlignment="1"/>
    <xf numFmtId="0" fontId="6" fillId="2" borderId="39" xfId="0" applyFont="1" applyFill="1" applyBorder="1" applyAlignment="1"/>
    <xf numFmtId="166" fontId="6" fillId="4" borderId="14" xfId="0" applyNumberFormat="1" applyFont="1" applyFill="1" applyBorder="1" applyAlignment="1">
      <alignment horizontal="center"/>
    </xf>
    <xf numFmtId="9" fontId="6" fillId="0" borderId="0" xfId="0" applyNumberFormat="1" applyFont="1" applyAlignment="1"/>
    <xf numFmtId="0" fontId="6" fillId="2" borderId="40" xfId="0" applyFont="1" applyFill="1" applyBorder="1" applyAlignment="1"/>
    <xf numFmtId="166" fontId="6" fillId="4" borderId="9" xfId="0" applyNumberFormat="1" applyFont="1" applyFill="1" applyBorder="1" applyAlignment="1">
      <alignment horizontal="center"/>
    </xf>
    <xf numFmtId="10" fontId="6" fillId="2" borderId="2" xfId="0" applyNumberFormat="1" applyFont="1" applyFill="1" applyBorder="1" applyAlignment="1"/>
    <xf numFmtId="10" fontId="14" fillId="9" borderId="2" xfId="0" applyNumberFormat="1" applyFont="1" applyFill="1" applyBorder="1" applyAlignment="1">
      <alignment horizontal="center"/>
    </xf>
    <xf numFmtId="0" fontId="14" fillId="2" borderId="28" xfId="0" applyFont="1" applyFill="1" applyBorder="1" applyAlignment="1"/>
    <xf numFmtId="0" fontId="14" fillId="9" borderId="2" xfId="0" applyFont="1" applyFill="1" applyBorder="1" applyAlignment="1">
      <alignment horizontal="center"/>
    </xf>
    <xf numFmtId="0" fontId="14" fillId="4" borderId="2" xfId="0" applyFont="1" applyFill="1" applyBorder="1" applyAlignment="1"/>
    <xf numFmtId="0" fontId="0" fillId="2" borderId="2" xfId="0" applyFont="1" applyFill="1" applyBorder="1" applyAlignment="1"/>
    <xf numFmtId="0" fontId="6" fillId="2" borderId="41" xfId="0" applyFont="1" applyFill="1" applyBorder="1" applyAlignment="1"/>
    <xf numFmtId="2" fontId="14" fillId="9" borderId="2" xfId="0" applyNumberFormat="1" applyFont="1" applyFill="1" applyBorder="1" applyAlignment="1">
      <alignment horizontal="center"/>
    </xf>
    <xf numFmtId="0" fontId="5" fillId="4" borderId="42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20" fillId="4" borderId="44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21" fillId="4" borderId="45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center" vertical="center"/>
    </xf>
    <xf numFmtId="0" fontId="20" fillId="4" borderId="47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 wrapText="1"/>
    </xf>
    <xf numFmtId="168" fontId="6" fillId="4" borderId="6" xfId="0" applyNumberFormat="1" applyFont="1" applyFill="1" applyBorder="1" applyAlignment="1">
      <alignment horizontal="center" vertical="center" wrapText="1"/>
    </xf>
    <xf numFmtId="168" fontId="6" fillId="4" borderId="49" xfId="0" applyNumberFormat="1" applyFont="1" applyFill="1" applyBorder="1" applyAlignment="1">
      <alignment horizontal="center" vertical="center" wrapText="1"/>
    </xf>
    <xf numFmtId="168" fontId="6" fillId="4" borderId="47" xfId="0" applyNumberFormat="1" applyFont="1" applyFill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169" fontId="6" fillId="0" borderId="50" xfId="0" applyNumberFormat="1" applyFont="1" applyBorder="1" applyAlignment="1">
      <alignment horizontal="center" vertical="center"/>
    </xf>
    <xf numFmtId="168" fontId="22" fillId="0" borderId="25" xfId="0" applyNumberFormat="1" applyFont="1" applyBorder="1" applyAlignment="1">
      <alignment horizontal="center" vertical="center"/>
    </xf>
    <xf numFmtId="168" fontId="6" fillId="0" borderId="50" xfId="0" applyNumberFormat="1" applyFont="1" applyBorder="1" applyAlignment="1">
      <alignment horizontal="center" vertical="center"/>
    </xf>
    <xf numFmtId="168" fontId="6" fillId="0" borderId="51" xfId="0" applyNumberFormat="1" applyFont="1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/>
    </xf>
    <xf numFmtId="0" fontId="6" fillId="4" borderId="52" xfId="0" applyFont="1" applyFill="1" applyBorder="1" applyAlignment="1">
      <alignment horizontal="center" vertical="center"/>
    </xf>
    <xf numFmtId="170" fontId="14" fillId="4" borderId="52" xfId="0" applyNumberFormat="1" applyFont="1" applyFill="1" applyBorder="1" applyAlignment="1">
      <alignment horizontal="center" vertical="center"/>
    </xf>
    <xf numFmtId="168" fontId="6" fillId="4" borderId="20" xfId="0" applyNumberFormat="1" applyFont="1" applyFill="1" applyBorder="1" applyAlignment="1">
      <alignment horizontal="center" vertical="center"/>
    </xf>
    <xf numFmtId="168" fontId="6" fillId="4" borderId="52" xfId="0" applyNumberFormat="1" applyFont="1" applyFill="1" applyBorder="1" applyAlignment="1">
      <alignment horizontal="center" vertical="center"/>
    </xf>
    <xf numFmtId="168" fontId="6" fillId="4" borderId="39" xfId="0" applyNumberFormat="1" applyFont="1" applyFill="1" applyBorder="1" applyAlignment="1">
      <alignment horizontal="center" vertical="center"/>
    </xf>
    <xf numFmtId="170" fontId="14" fillId="0" borderId="50" xfId="0" applyNumberFormat="1" applyFont="1" applyBorder="1" applyAlignment="1">
      <alignment horizontal="center" vertical="center"/>
    </xf>
    <xf numFmtId="168" fontId="6" fillId="5" borderId="20" xfId="0" applyNumberFormat="1" applyFont="1" applyFill="1" applyBorder="1" applyAlignment="1">
      <alignment horizontal="center" vertical="center"/>
    </xf>
    <xf numFmtId="168" fontId="6" fillId="8" borderId="20" xfId="0" applyNumberFormat="1" applyFont="1" applyFill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170" fontId="14" fillId="0" borderId="53" xfId="0" applyNumberFormat="1" applyFont="1" applyBorder="1" applyAlignment="1">
      <alignment horizontal="center" vertical="center"/>
    </xf>
    <xf numFmtId="168" fontId="6" fillId="0" borderId="26" xfId="0" applyNumberFormat="1" applyFont="1" applyBorder="1" applyAlignment="1">
      <alignment horizontal="center" vertical="center"/>
    </xf>
    <xf numFmtId="168" fontId="6" fillId="0" borderId="53" xfId="0" applyNumberFormat="1" applyFont="1" applyBorder="1" applyAlignment="1">
      <alignment horizontal="center" vertical="center"/>
    </xf>
    <xf numFmtId="168" fontId="6" fillId="0" borderId="54" xfId="0" applyNumberFormat="1" applyFont="1" applyBorder="1" applyAlignment="1">
      <alignment horizontal="center" vertical="center"/>
    </xf>
    <xf numFmtId="0" fontId="23" fillId="8" borderId="2" xfId="0" applyFont="1" applyFill="1" applyBorder="1" applyAlignment="1"/>
    <xf numFmtId="0" fontId="4" fillId="4" borderId="42" xfId="0" applyFont="1" applyFill="1" applyBorder="1" applyAlignment="1"/>
    <xf numFmtId="0" fontId="6" fillId="4" borderId="43" xfId="0" applyFont="1" applyFill="1" applyBorder="1" applyAlignment="1"/>
    <xf numFmtId="168" fontId="4" fillId="4" borderId="44" xfId="0" applyNumberFormat="1" applyFont="1" applyFill="1" applyBorder="1" applyAlignment="1"/>
    <xf numFmtId="0" fontId="24" fillId="8" borderId="2" xfId="0" applyFont="1" applyFill="1" applyBorder="1" applyAlignment="1"/>
    <xf numFmtId="168" fontId="25" fillId="8" borderId="2" xfId="0" applyNumberFormat="1" applyFont="1" applyFill="1" applyBorder="1" applyAlignment="1"/>
    <xf numFmtId="10" fontId="4" fillId="4" borderId="44" xfId="0" applyNumberFormat="1" applyFont="1" applyFill="1" applyBorder="1" applyAlignment="1"/>
    <xf numFmtId="0" fontId="4" fillId="8" borderId="2" xfId="0" applyFont="1" applyFill="1" applyBorder="1" applyAlignment="1">
      <alignment horizontal="center" vertical="center"/>
    </xf>
    <xf numFmtId="0" fontId="26" fillId="8" borderId="2" xfId="0" applyFont="1" applyFill="1" applyBorder="1" applyAlignment="1"/>
    <xf numFmtId="0" fontId="2" fillId="4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18" fillId="8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164" fontId="0" fillId="10" borderId="1" xfId="0" applyNumberFormat="1" applyFont="1" applyFill="1" applyBorder="1" applyAlignment="1">
      <alignment horizontal="center"/>
    </xf>
    <xf numFmtId="0" fontId="6" fillId="10" borderId="1" xfId="0" applyFont="1" applyFill="1" applyBorder="1" applyAlignment="1"/>
    <xf numFmtId="1" fontId="0" fillId="10" borderId="1" xfId="0" applyNumberFormat="1" applyFont="1" applyFill="1" applyBorder="1" applyAlignment="1">
      <alignment horizontal="center"/>
    </xf>
    <xf numFmtId="0" fontId="1" fillId="10" borderId="21" xfId="0" applyFont="1" applyFill="1" applyBorder="1" applyAlignment="1">
      <alignment horizontal="center"/>
    </xf>
    <xf numFmtId="0" fontId="1" fillId="10" borderId="16" xfId="0" applyFont="1" applyFill="1" applyBorder="1" applyAlignment="1">
      <alignment horizontal="center"/>
    </xf>
    <xf numFmtId="164" fontId="1" fillId="10" borderId="21" xfId="0" applyNumberFormat="1" applyFont="1" applyFill="1" applyBorder="1" applyAlignment="1">
      <alignment horizontal="center"/>
    </xf>
    <xf numFmtId="164" fontId="1" fillId="10" borderId="18" xfId="0" applyNumberFormat="1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4" fontId="1" fillId="10" borderId="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26" xfId="0" applyBorder="1" applyAlignment="1">
      <alignment horizontal="left"/>
    </xf>
    <xf numFmtId="0" fontId="0" fillId="0" borderId="0" xfId="0" applyAlignment="1">
      <alignment horizontal="left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1" fontId="1" fillId="10" borderId="10" xfId="0" applyNumberFormat="1" applyFont="1" applyFill="1" applyBorder="1" applyAlignment="1">
      <alignment horizontal="center"/>
    </xf>
    <xf numFmtId="0" fontId="1" fillId="10" borderId="55" xfId="0" applyFont="1" applyFill="1" applyBorder="1" applyAlignment="1">
      <alignment horizontal="center"/>
    </xf>
    <xf numFmtId="0" fontId="39" fillId="0" borderId="0" xfId="0" applyFont="1" applyAlignment="1">
      <alignment horizontal="left"/>
    </xf>
    <xf numFmtId="0" fontId="39" fillId="0" borderId="0" xfId="0" applyFont="1" applyAlignment="1"/>
    <xf numFmtId="0" fontId="39" fillId="11" borderId="0" xfId="0" applyFont="1" applyFill="1" applyAlignment="1"/>
    <xf numFmtId="0" fontId="43" fillId="12" borderId="2" xfId="0" applyFont="1" applyFill="1" applyBorder="1" applyAlignment="1"/>
    <xf numFmtId="0" fontId="6" fillId="12" borderId="2" xfId="0" applyFont="1" applyFill="1" applyBorder="1" applyAlignment="1"/>
    <xf numFmtId="2" fontId="1" fillId="10" borderId="16" xfId="0" applyNumberFormat="1" applyFont="1" applyFill="1" applyBorder="1" applyAlignment="1">
      <alignment horizontal="center"/>
    </xf>
    <xf numFmtId="0" fontId="1" fillId="10" borderId="18" xfId="0" applyFont="1" applyFill="1" applyBorder="1" applyAlignment="1">
      <alignment horizontal="center"/>
    </xf>
    <xf numFmtId="0" fontId="0" fillId="10" borderId="14" xfId="0" applyFont="1" applyFill="1" applyBorder="1" applyAlignment="1">
      <alignment horizontal="center"/>
    </xf>
    <xf numFmtId="0" fontId="40" fillId="4" borderId="12" xfId="0" applyFont="1" applyFill="1" applyBorder="1" applyAlignment="1">
      <alignment horizontal="left"/>
    </xf>
    <xf numFmtId="0" fontId="40" fillId="4" borderId="2" xfId="0" applyFont="1" applyFill="1" applyBorder="1" applyAlignment="1">
      <alignment horizontal="left"/>
    </xf>
    <xf numFmtId="0" fontId="40" fillId="11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tx>
            <c:strRef>
              <c:f>'Analise do Investimento'!$B$16</c:f>
              <c:strCache>
                <c:ptCount val="1"/>
                <c:pt idx="0">
                  <c:v>Ano</c:v>
                </c:pt>
              </c:strCache>
            </c:strRef>
          </c:tx>
          <c:spPr>
            <a:solidFill>
              <a:srgbClr val="FF9900"/>
            </a:solidFill>
          </c:spPr>
          <c:val>
            <c:numRef>
              <c:f>'Analise do Investimento'!$B$17:$B$42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val>
        </c:ser>
        <c:ser>
          <c:idx val="1"/>
          <c:order val="1"/>
          <c:tx>
            <c:strRef>
              <c:f>'Analise do Investimento'!$J$16</c:f>
              <c:strCache>
                <c:ptCount val="1"/>
                <c:pt idx="0">
                  <c:v>Fluxo Descontado Acumulado </c:v>
                </c:pt>
              </c:strCache>
            </c:strRef>
          </c:tx>
          <c:spPr>
            <a:solidFill>
              <a:srgbClr val="993366"/>
            </a:solidFill>
          </c:spPr>
          <c:val>
            <c:numRef>
              <c:f>'Analise do Investimento'!$J$17:$J$42</c:f>
              <c:numCache>
                <c:formatCode>"R$"#,##0.00</c:formatCode>
                <c:ptCount val="26"/>
                <c:pt idx="0">
                  <c:v>-16928.099999999999</c:v>
                </c:pt>
                <c:pt idx="1">
                  <c:v>-16117.789655172412</c:v>
                </c:pt>
                <c:pt idx="2">
                  <c:v>-15368.643770511293</c:v>
                </c:pt>
                <c:pt idx="3">
                  <c:v>-14676.045483833734</c:v>
                </c:pt>
                <c:pt idx="4">
                  <c:v>-14035.726426450559</c:v>
                </c:pt>
                <c:pt idx="5">
                  <c:v>-13443.740417916066</c:v>
                </c:pt>
                <c:pt idx="6">
                  <c:v>-12896.439146370607</c:v>
                </c:pt>
                <c:pt idx="7">
                  <c:v>-12390.44968459801</c:v>
                </c:pt>
                <c:pt idx="8">
                  <c:v>-11922.653703233007</c:v>
                </c:pt>
                <c:pt idx="9">
                  <c:v>-11490.168253013107</c:v>
                </c:pt>
                <c:pt idx="10">
                  <c:v>-11090.327997639117</c:v>
                </c:pt>
                <c:pt idx="11">
                  <c:v>-10720.668787748356</c:v>
                </c:pt>
                <c:pt idx="12">
                  <c:v>-10378.912474769695</c:v>
                </c:pt>
                <c:pt idx="13">
                  <c:v>-10062.952871070698</c:v>
                </c:pt>
                <c:pt idx="14">
                  <c:v>-9770.8427698716023</c:v>
                </c:pt>
                <c:pt idx="15">
                  <c:v>-9500.7819449319832</c:v>
                </c:pt>
                <c:pt idx="16">
                  <c:v>-9251.1060560541846</c:v>
                </c:pt>
                <c:pt idx="17">
                  <c:v>-9020.2763920299549</c:v>
                </c:pt>
                <c:pt idx="18">
                  <c:v>-8806.8703878177621</c:v>
                </c:pt>
                <c:pt idx="19">
                  <c:v>-8609.5728575097237</c:v>
                </c:pt>
                <c:pt idx="20">
                  <c:v>-8427.1678890583844</c:v>
                </c:pt>
                <c:pt idx="21">
                  <c:v>-8258.5313508118725</c:v>
                </c:pt>
                <c:pt idx="22">
                  <c:v>-8102.6239636764512</c:v>
                </c:pt>
                <c:pt idx="23">
                  <c:v>-7958.4848962113547</c:v>
                </c:pt>
                <c:pt idx="24">
                  <c:v>-7825.225843183538</c:v>
                </c:pt>
                <c:pt idx="25">
                  <c:v>-7748.7542443673528</c:v>
                </c:pt>
              </c:numCache>
            </c:numRef>
          </c:val>
        </c:ser>
        <c:axId val="107111552"/>
        <c:axId val="107113472"/>
      </c:barChart>
      <c:catAx>
        <c:axId val="107111552"/>
        <c:scaling>
          <c:orientation val="minMax"/>
        </c:scaling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layout/>
        </c:title>
        <c:numFmt formatCode="General" sourceLinked="1"/>
        <c:maj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07113472"/>
        <c:crosses val="autoZero"/>
        <c:lblAlgn val="ctr"/>
        <c:lblOffset val="100"/>
      </c:catAx>
      <c:valAx>
        <c:axId val="107113472"/>
        <c:scaling>
          <c:orientation val="minMax"/>
        </c:scaling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layout/>
        </c:title>
        <c:numFmt formatCode="General" sourceLinked="1"/>
        <c:maj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07111552"/>
        <c:crosses val="autoZero"/>
        <c:crossBetween val="between"/>
      </c:valAx>
    </c:plotArea>
    <c:legend>
      <c:legendPos val="r"/>
      <c:layout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</c:chart>
  <c:spPr>
    <a:solidFill>
      <a:srgbClr val="FFFFFF"/>
    </a:solidFill>
  </c:sp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47625</xdr:colOff>
      <xdr:row>112</xdr:row>
      <xdr:rowOff>371475</xdr:rowOff>
    </xdr:from>
    <xdr:ext cx="47625" cy="180975"/>
    <xdr:sp macro="" textlink="">
      <xdr:nvSpPr>
        <xdr:cNvPr id="3" name="Shape 3"/>
        <xdr:cNvSpPr/>
      </xdr:nvSpPr>
      <xdr:spPr>
        <a:xfrm>
          <a:off x="5326950" y="3694275"/>
          <a:ext cx="381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47625</xdr:colOff>
      <xdr:row>3</xdr:row>
      <xdr:rowOff>371475</xdr:rowOff>
    </xdr:from>
    <xdr:ext cx="47625" cy="123825"/>
    <xdr:sp macro="" textlink="">
      <xdr:nvSpPr>
        <xdr:cNvPr id="4" name="Shape 4"/>
        <xdr:cNvSpPr/>
      </xdr:nvSpPr>
      <xdr:spPr>
        <a:xfrm>
          <a:off x="5326950" y="3722850"/>
          <a:ext cx="38100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47625</xdr:colOff>
      <xdr:row>3</xdr:row>
      <xdr:rowOff>371475</xdr:rowOff>
    </xdr:from>
    <xdr:ext cx="47625" cy="123825"/>
    <xdr:sp macro="" textlink="">
      <xdr:nvSpPr>
        <xdr:cNvPr id="2" name="Shape 4"/>
        <xdr:cNvSpPr/>
      </xdr:nvSpPr>
      <xdr:spPr>
        <a:xfrm>
          <a:off x="5326950" y="3722850"/>
          <a:ext cx="38100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1647825</xdr:colOff>
      <xdr:row>0</xdr:row>
      <xdr:rowOff>0</xdr:rowOff>
    </xdr:from>
    <xdr:ext cx="5876925" cy="514350"/>
    <xdr:pic>
      <xdr:nvPicPr>
        <xdr:cNvPr id="5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142875</xdr:colOff>
      <xdr:row>15</xdr:row>
      <xdr:rowOff>19050</xdr:rowOff>
    </xdr:from>
    <xdr:ext cx="6162675" cy="4086225"/>
    <xdr:graphicFrame macro="">
      <xdr:nvGraphicFramePr>
        <xdr:cNvPr id="324887515" name="Chart 1" descr="Chart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AD1F1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activeCell="F28" sqref="F28"/>
    </sheetView>
  </sheetViews>
  <sheetFormatPr defaultColWidth="12.6640625" defaultRowHeight="15" customHeight="1"/>
  <cols>
    <col min="1" max="1" width="25.1640625" customWidth="1"/>
    <col min="2" max="4" width="13.1640625" customWidth="1"/>
    <col min="5" max="5" width="10.4140625" customWidth="1"/>
    <col min="6" max="6" width="13.1640625" customWidth="1"/>
    <col min="7" max="26" width="8" customWidth="1"/>
  </cols>
  <sheetData>
    <row r="1" spans="1:26" ht="15" customHeight="1">
      <c r="A1" s="1"/>
      <c r="B1" s="2"/>
      <c r="C1" s="2" t="s">
        <v>0</v>
      </c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>
      <c r="A2" s="5"/>
      <c r="B2" s="4"/>
      <c r="C2" s="4"/>
      <c r="D2" s="4"/>
      <c r="E2" s="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9" customHeight="1">
      <c r="A3" s="7" t="s">
        <v>1</v>
      </c>
      <c r="B3" s="8" t="s">
        <v>2</v>
      </c>
      <c r="C3" s="9" t="s">
        <v>3</v>
      </c>
      <c r="D3" s="9" t="s">
        <v>4</v>
      </c>
      <c r="E3" s="8" t="s">
        <v>5</v>
      </c>
      <c r="F3" s="9" t="s">
        <v>6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>
      <c r="A4" s="10" t="s">
        <v>7</v>
      </c>
      <c r="B4" s="11">
        <v>15</v>
      </c>
      <c r="C4" s="11">
        <v>8</v>
      </c>
      <c r="D4" s="11">
        <v>2</v>
      </c>
      <c r="E4" s="12" t="s">
        <v>8</v>
      </c>
      <c r="F4" s="11">
        <v>0.24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>
      <c r="A5" s="10" t="s">
        <v>9</v>
      </c>
      <c r="B5" s="11">
        <v>12</v>
      </c>
      <c r="C5" s="11">
        <v>8</v>
      </c>
      <c r="D5" s="11">
        <v>2</v>
      </c>
      <c r="E5" s="12" t="s">
        <v>8</v>
      </c>
      <c r="F5" s="11">
        <v>0.192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10" t="s">
        <v>10</v>
      </c>
      <c r="B6" s="11">
        <v>20</v>
      </c>
      <c r="C6" s="11">
        <v>5</v>
      </c>
      <c r="D6" s="11">
        <v>30</v>
      </c>
      <c r="E6" s="12" t="s">
        <v>11</v>
      </c>
      <c r="F6" s="11">
        <v>0.05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>
      <c r="A7" s="10" t="s">
        <v>12</v>
      </c>
      <c r="B7" s="11">
        <v>80</v>
      </c>
      <c r="C7" s="11">
        <v>20</v>
      </c>
      <c r="D7" s="11">
        <v>3</v>
      </c>
      <c r="E7" s="12" t="s">
        <v>8</v>
      </c>
      <c r="F7" s="11">
        <v>4.8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8.5" customHeight="1">
      <c r="A8" s="10" t="s">
        <v>13</v>
      </c>
      <c r="B8" s="11">
        <v>760</v>
      </c>
      <c r="C8" s="13">
        <v>30</v>
      </c>
      <c r="D8" s="11">
        <v>8</v>
      </c>
      <c r="E8" s="12" t="s">
        <v>8</v>
      </c>
      <c r="F8" s="11">
        <v>182.4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8.5" customHeight="1">
      <c r="A9" s="10" t="s">
        <v>13</v>
      </c>
      <c r="B9" s="11">
        <v>800</v>
      </c>
      <c r="C9" s="11">
        <v>30</v>
      </c>
      <c r="D9" s="11">
        <v>8</v>
      </c>
      <c r="E9" s="12" t="s">
        <v>8</v>
      </c>
      <c r="F9" s="11">
        <v>192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25" customHeight="1">
      <c r="A10" s="10" t="s">
        <v>14</v>
      </c>
      <c r="B10" s="11">
        <v>100</v>
      </c>
      <c r="C10" s="11">
        <v>30</v>
      </c>
      <c r="D10" s="11">
        <v>20</v>
      </c>
      <c r="E10" s="12" t="s">
        <v>11</v>
      </c>
      <c r="F10" s="11">
        <v>10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25" customHeight="1">
      <c r="A11" s="10" t="s">
        <v>15</v>
      </c>
      <c r="B11" s="11">
        <v>600</v>
      </c>
      <c r="C11" s="11">
        <v>30</v>
      </c>
      <c r="D11" s="11">
        <v>1</v>
      </c>
      <c r="E11" s="12" t="s">
        <v>8</v>
      </c>
      <c r="F11" s="11">
        <v>18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25" customHeight="1">
      <c r="A12" s="10" t="s">
        <v>16</v>
      </c>
      <c r="B12" s="11">
        <v>3800</v>
      </c>
      <c r="C12" s="11">
        <v>5</v>
      </c>
      <c r="D12" s="11">
        <v>4</v>
      </c>
      <c r="E12" s="12" t="s">
        <v>8</v>
      </c>
      <c r="F12" s="11">
        <v>76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>
      <c r="A13" s="10" t="s">
        <v>17</v>
      </c>
      <c r="B13" s="11">
        <v>3500</v>
      </c>
      <c r="C13" s="11">
        <v>30</v>
      </c>
      <c r="D13" s="11">
        <v>40</v>
      </c>
      <c r="E13" s="12" t="s">
        <v>11</v>
      </c>
      <c r="F13" s="11">
        <v>70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>
      <c r="A14" s="10" t="s">
        <v>18</v>
      </c>
      <c r="B14" s="11">
        <v>4500</v>
      </c>
      <c r="C14" s="11">
        <v>30</v>
      </c>
      <c r="D14" s="11">
        <v>40</v>
      </c>
      <c r="E14" s="12" t="s">
        <v>11</v>
      </c>
      <c r="F14" s="11">
        <v>90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>
      <c r="A15" s="10" t="s">
        <v>19</v>
      </c>
      <c r="B15" s="11">
        <v>5000</v>
      </c>
      <c r="C15" s="11">
        <v>30</v>
      </c>
      <c r="D15" s="11">
        <v>40</v>
      </c>
      <c r="E15" s="12" t="s">
        <v>11</v>
      </c>
      <c r="F15" s="11">
        <v>100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>
      <c r="A16" s="10" t="s">
        <v>20</v>
      </c>
      <c r="B16" s="11">
        <v>200</v>
      </c>
      <c r="C16" s="11">
        <v>30</v>
      </c>
      <c r="D16" s="11">
        <v>8</v>
      </c>
      <c r="E16" s="12" t="s">
        <v>8</v>
      </c>
      <c r="F16" s="11">
        <v>48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8.5" customHeight="1">
      <c r="A17" s="10" t="s">
        <v>21</v>
      </c>
      <c r="B17" s="11">
        <v>90</v>
      </c>
      <c r="C17" s="11">
        <v>30</v>
      </c>
      <c r="D17" s="11">
        <v>8</v>
      </c>
      <c r="E17" s="12" t="s">
        <v>8</v>
      </c>
      <c r="F17" s="11">
        <v>21.6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>
      <c r="A18" s="10" t="s">
        <v>22</v>
      </c>
      <c r="B18" s="11">
        <v>100</v>
      </c>
      <c r="C18" s="11">
        <v>30</v>
      </c>
      <c r="D18" s="11">
        <v>8</v>
      </c>
      <c r="E18" s="12" t="s">
        <v>8</v>
      </c>
      <c r="F18" s="11">
        <v>24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8.5" customHeight="1">
      <c r="A19" s="10" t="s">
        <v>23</v>
      </c>
      <c r="B19" s="11">
        <v>20</v>
      </c>
      <c r="C19" s="11">
        <v>30</v>
      </c>
      <c r="D19" s="11">
        <v>24</v>
      </c>
      <c r="E19" s="12" t="s">
        <v>8</v>
      </c>
      <c r="F19" s="11">
        <v>14.4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>
      <c r="A20" s="10" t="s">
        <v>24</v>
      </c>
      <c r="B20" s="11">
        <v>500</v>
      </c>
      <c r="C20" s="11">
        <v>2</v>
      </c>
      <c r="D20" s="11">
        <v>2</v>
      </c>
      <c r="E20" s="12" t="s">
        <v>8</v>
      </c>
      <c r="F20" s="11">
        <v>2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>
      <c r="A21" s="10" t="s">
        <v>25</v>
      </c>
      <c r="B21" s="11">
        <v>65</v>
      </c>
      <c r="C21" s="11">
        <v>20</v>
      </c>
      <c r="D21" s="11">
        <v>10</v>
      </c>
      <c r="E21" s="12" t="s">
        <v>11</v>
      </c>
      <c r="F21" s="11">
        <v>0.22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25" customHeight="1">
      <c r="A22" s="10" t="s">
        <v>26</v>
      </c>
      <c r="B22" s="11">
        <v>170</v>
      </c>
      <c r="C22" s="11">
        <v>30</v>
      </c>
      <c r="D22" s="11">
        <v>4</v>
      </c>
      <c r="E22" s="12" t="s">
        <v>8</v>
      </c>
      <c r="F22" s="11">
        <v>20.399999999999999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customHeight="1">
      <c r="A23" s="10" t="s">
        <v>27</v>
      </c>
      <c r="B23" s="11">
        <v>1200</v>
      </c>
      <c r="C23" s="11">
        <v>30</v>
      </c>
      <c r="D23" s="11">
        <v>20</v>
      </c>
      <c r="E23" s="12" t="s">
        <v>11</v>
      </c>
      <c r="F23" s="11">
        <v>12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>
      <c r="A24" s="10" t="s">
        <v>28</v>
      </c>
      <c r="B24" s="11">
        <v>130</v>
      </c>
      <c r="C24" s="14">
        <v>30</v>
      </c>
      <c r="D24" s="14">
        <v>14</v>
      </c>
      <c r="E24" s="12" t="s">
        <v>8</v>
      </c>
      <c r="F24" s="11">
        <v>50.4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>
      <c r="A25" s="10" t="s">
        <v>29</v>
      </c>
      <c r="B25" s="11">
        <v>70</v>
      </c>
      <c r="C25" s="14">
        <v>30</v>
      </c>
      <c r="D25" s="14">
        <v>12</v>
      </c>
      <c r="E25" s="12" t="s">
        <v>8</v>
      </c>
      <c r="F25" s="11">
        <v>25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>
      <c r="A26" s="10" t="s">
        <v>30</v>
      </c>
      <c r="B26" s="11">
        <v>75</v>
      </c>
      <c r="C26" s="14">
        <v>30</v>
      </c>
      <c r="D26" s="14">
        <v>12</v>
      </c>
      <c r="E26" s="12" t="s">
        <v>8</v>
      </c>
      <c r="F26" s="11">
        <v>27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>
      <c r="A27" s="10" t="s">
        <v>31</v>
      </c>
      <c r="B27" s="11">
        <v>80</v>
      </c>
      <c r="C27" s="14">
        <v>30</v>
      </c>
      <c r="D27" s="14">
        <v>13</v>
      </c>
      <c r="E27" s="12" t="s">
        <v>8</v>
      </c>
      <c r="F27" s="11">
        <v>31.2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>
      <c r="A28" s="10" t="s">
        <v>32</v>
      </c>
      <c r="B28" s="11">
        <v>110</v>
      </c>
      <c r="C28" s="14">
        <v>30</v>
      </c>
      <c r="D28" s="14">
        <v>15</v>
      </c>
      <c r="E28" s="12" t="s">
        <v>8</v>
      </c>
      <c r="F28" s="11">
        <v>49.5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8.5" customHeight="1">
      <c r="A29" s="7" t="s">
        <v>33</v>
      </c>
      <c r="B29" s="8">
        <v>120</v>
      </c>
      <c r="C29" s="14">
        <v>30</v>
      </c>
      <c r="D29" s="14">
        <v>15</v>
      </c>
      <c r="E29" s="15" t="s">
        <v>8</v>
      </c>
      <c r="F29" s="8">
        <v>55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>
      <c r="A30" s="10" t="s">
        <v>34</v>
      </c>
      <c r="B30" s="11">
        <v>350</v>
      </c>
      <c r="C30" s="11">
        <v>8</v>
      </c>
      <c r="D30" s="11">
        <v>2</v>
      </c>
      <c r="E30" s="12" t="s">
        <v>8</v>
      </c>
      <c r="F30" s="11">
        <v>5.6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>
      <c r="A31" s="10" t="s">
        <v>35</v>
      </c>
      <c r="B31" s="11">
        <v>15</v>
      </c>
      <c r="C31" s="11">
        <v>30</v>
      </c>
      <c r="D31" s="11">
        <v>1</v>
      </c>
      <c r="E31" s="12" t="s">
        <v>8</v>
      </c>
      <c r="F31" s="11">
        <v>0.45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>
      <c r="A32" s="10" t="s">
        <v>36</v>
      </c>
      <c r="B32" s="11">
        <v>40</v>
      </c>
      <c r="C32" s="11">
        <v>30</v>
      </c>
      <c r="D32" s="11">
        <v>5</v>
      </c>
      <c r="E32" s="12" t="s">
        <v>8</v>
      </c>
      <c r="F32" s="11">
        <v>6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>
      <c r="A33" s="10" t="s">
        <v>37</v>
      </c>
      <c r="B33" s="11">
        <v>60</v>
      </c>
      <c r="C33" s="11">
        <v>30</v>
      </c>
      <c r="D33" s="11">
        <v>5</v>
      </c>
      <c r="E33" s="12" t="s">
        <v>8</v>
      </c>
      <c r="F33" s="11">
        <v>9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8.5" customHeight="1">
      <c r="A34" s="10" t="s">
        <v>38</v>
      </c>
      <c r="B34" s="11">
        <v>100</v>
      </c>
      <c r="C34" s="11">
        <v>30</v>
      </c>
      <c r="D34" s="11">
        <v>5</v>
      </c>
      <c r="E34" s="12" t="s">
        <v>8</v>
      </c>
      <c r="F34" s="11">
        <v>15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8.5" customHeight="1">
      <c r="A35" s="10" t="s">
        <v>39</v>
      </c>
      <c r="B35" s="11">
        <v>11</v>
      </c>
      <c r="C35" s="11">
        <v>30</v>
      </c>
      <c r="D35" s="11">
        <v>5</v>
      </c>
      <c r="E35" s="12" t="s">
        <v>8</v>
      </c>
      <c r="F35" s="11">
        <v>1.65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8.5" customHeight="1">
      <c r="A36" s="10" t="s">
        <v>40</v>
      </c>
      <c r="B36" s="11">
        <v>15</v>
      </c>
      <c r="C36" s="11">
        <v>30</v>
      </c>
      <c r="D36" s="11">
        <v>5</v>
      </c>
      <c r="E36" s="12" t="s">
        <v>8</v>
      </c>
      <c r="F36" s="11">
        <v>2.2000000000000002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8.5" customHeight="1">
      <c r="A37" s="10" t="s">
        <v>41</v>
      </c>
      <c r="B37" s="11">
        <v>23</v>
      </c>
      <c r="C37" s="11">
        <v>30</v>
      </c>
      <c r="D37" s="11">
        <v>5</v>
      </c>
      <c r="E37" s="12" t="s">
        <v>8</v>
      </c>
      <c r="F37" s="11">
        <v>3.5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>
      <c r="A38" s="10" t="s">
        <v>42</v>
      </c>
      <c r="B38" s="11">
        <v>8</v>
      </c>
      <c r="C38" s="11">
        <v>30</v>
      </c>
      <c r="D38" s="11">
        <v>5</v>
      </c>
      <c r="E38" s="12" t="s">
        <v>8</v>
      </c>
      <c r="F38" s="11">
        <v>1.2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>
      <c r="A39" s="7" t="s">
        <v>43</v>
      </c>
      <c r="B39" s="8">
        <v>12</v>
      </c>
      <c r="C39" s="8">
        <v>30</v>
      </c>
      <c r="D39" s="8">
        <v>5</v>
      </c>
      <c r="E39" s="16" t="s">
        <v>8</v>
      </c>
      <c r="F39" s="8">
        <v>1.65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8.5" customHeight="1">
      <c r="A40" s="10" t="s">
        <v>44</v>
      </c>
      <c r="B40" s="11">
        <v>16</v>
      </c>
      <c r="C40" s="11">
        <v>30</v>
      </c>
      <c r="D40" s="11">
        <v>5</v>
      </c>
      <c r="E40" s="12" t="s">
        <v>8</v>
      </c>
      <c r="F40" s="11">
        <v>2.2000000000000002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8.5" customHeight="1">
      <c r="A41" s="10" t="s">
        <v>45</v>
      </c>
      <c r="B41" s="11">
        <v>32</v>
      </c>
      <c r="C41" s="11">
        <v>30</v>
      </c>
      <c r="D41" s="11">
        <v>5</v>
      </c>
      <c r="E41" s="12" t="s">
        <v>8</v>
      </c>
      <c r="F41" s="11">
        <v>3.5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8.5" customHeight="1">
      <c r="A42" s="10" t="s">
        <v>46</v>
      </c>
      <c r="B42" s="11">
        <v>11</v>
      </c>
      <c r="C42" s="11">
        <v>30</v>
      </c>
      <c r="D42" s="11">
        <v>5</v>
      </c>
      <c r="E42" s="12" t="s">
        <v>8</v>
      </c>
      <c r="F42" s="11">
        <v>1.65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8.5" customHeight="1">
      <c r="A43" s="10" t="s">
        <v>46</v>
      </c>
      <c r="B43" s="11">
        <v>11</v>
      </c>
      <c r="C43" s="11">
        <v>30</v>
      </c>
      <c r="D43" s="11">
        <v>5</v>
      </c>
      <c r="E43" s="12" t="s">
        <v>8</v>
      </c>
      <c r="F43" s="11">
        <v>3.3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>
      <c r="A44" s="10" t="s">
        <v>47</v>
      </c>
      <c r="B44" s="11">
        <v>1500</v>
      </c>
      <c r="C44" s="11">
        <v>30</v>
      </c>
      <c r="D44" s="11">
        <v>40</v>
      </c>
      <c r="E44" s="12" t="s">
        <v>11</v>
      </c>
      <c r="F44" s="11">
        <v>30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>
      <c r="A45" s="7" t="s">
        <v>48</v>
      </c>
      <c r="B45" s="8">
        <v>500</v>
      </c>
      <c r="C45" s="8">
        <v>12</v>
      </c>
      <c r="D45" s="8">
        <v>1</v>
      </c>
      <c r="E45" s="16" t="s">
        <v>8</v>
      </c>
      <c r="F45" s="8">
        <v>6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8.5" customHeight="1">
      <c r="A46" s="10" t="s">
        <v>49</v>
      </c>
      <c r="B46" s="11"/>
      <c r="C46" s="11"/>
      <c r="D46" s="11"/>
      <c r="E46" s="12"/>
      <c r="F46" s="11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>
      <c r="A47" s="10" t="s">
        <v>50</v>
      </c>
      <c r="B47" s="11">
        <v>300</v>
      </c>
      <c r="C47" s="11">
        <v>15</v>
      </c>
      <c r="D47" s="11">
        <v>15</v>
      </c>
      <c r="E47" s="12" t="s">
        <v>11</v>
      </c>
      <c r="F47" s="11">
        <v>1.1000000000000001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>
      <c r="A48" s="10" t="s">
        <v>51</v>
      </c>
      <c r="B48" s="11">
        <v>5</v>
      </c>
      <c r="C48" s="11">
        <v>30</v>
      </c>
      <c r="D48" s="11">
        <v>24</v>
      </c>
      <c r="E48" s="12" t="s">
        <v>8</v>
      </c>
      <c r="F48" s="11">
        <v>3.6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>
      <c r="A49" s="10" t="s">
        <v>52</v>
      </c>
      <c r="B49" s="11">
        <v>12</v>
      </c>
      <c r="C49" s="11">
        <v>30</v>
      </c>
      <c r="D49" s="11">
        <v>8</v>
      </c>
      <c r="E49" s="12" t="s">
        <v>11</v>
      </c>
      <c r="F49" s="11">
        <v>2.8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>
      <c r="A50" s="10" t="s">
        <v>53</v>
      </c>
      <c r="B50" s="11">
        <v>30</v>
      </c>
      <c r="C50" s="11">
        <v>30</v>
      </c>
      <c r="D50" s="11">
        <v>8</v>
      </c>
      <c r="E50" s="12" t="s">
        <v>8</v>
      </c>
      <c r="F50" s="11">
        <v>7.2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>
      <c r="A51" s="7" t="s">
        <v>54</v>
      </c>
      <c r="B51" s="8">
        <v>30</v>
      </c>
      <c r="C51" s="8">
        <v>30</v>
      </c>
      <c r="D51" s="8">
        <v>8</v>
      </c>
      <c r="E51" s="16" t="s">
        <v>8</v>
      </c>
      <c r="F51" s="8">
        <v>7.2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>
      <c r="A52" s="10" t="s">
        <v>55</v>
      </c>
      <c r="B52" s="11">
        <v>10</v>
      </c>
      <c r="C52" s="11">
        <v>30</v>
      </c>
      <c r="D52" s="11">
        <v>24</v>
      </c>
      <c r="E52" s="12" t="s">
        <v>8</v>
      </c>
      <c r="F52" s="11">
        <v>7.2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>
      <c r="A53" s="10" t="s">
        <v>56</v>
      </c>
      <c r="B53" s="11">
        <v>320</v>
      </c>
      <c r="C53" s="11">
        <v>30</v>
      </c>
      <c r="D53" s="11">
        <v>5</v>
      </c>
      <c r="E53" s="12" t="s">
        <v>8</v>
      </c>
      <c r="F53" s="11">
        <v>48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>
      <c r="A54" s="10" t="s">
        <v>57</v>
      </c>
      <c r="B54" s="11">
        <v>500</v>
      </c>
      <c r="C54" s="11">
        <v>30</v>
      </c>
      <c r="D54" s="11">
        <v>5</v>
      </c>
      <c r="E54" s="12" t="s">
        <v>8</v>
      </c>
      <c r="F54" s="11">
        <v>75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>
      <c r="A55" s="10" t="s">
        <v>58</v>
      </c>
      <c r="B55" s="11">
        <v>170</v>
      </c>
      <c r="C55" s="11">
        <v>30</v>
      </c>
      <c r="D55" s="11">
        <v>5</v>
      </c>
      <c r="E55" s="12" t="s">
        <v>8</v>
      </c>
      <c r="F55" s="11">
        <v>25.5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>
      <c r="A56" s="10" t="s">
        <v>59</v>
      </c>
      <c r="B56" s="11">
        <v>220</v>
      </c>
      <c r="C56" s="11">
        <v>30</v>
      </c>
      <c r="D56" s="11">
        <v>5</v>
      </c>
      <c r="E56" s="12" t="s">
        <v>8</v>
      </c>
      <c r="F56" s="11">
        <v>33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>
      <c r="A57" s="7" t="s">
        <v>60</v>
      </c>
      <c r="B57" s="8">
        <v>95</v>
      </c>
      <c r="C57" s="8">
        <v>30</v>
      </c>
      <c r="D57" s="8">
        <v>5</v>
      </c>
      <c r="E57" s="16" t="s">
        <v>8</v>
      </c>
      <c r="F57" s="8">
        <v>14.3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>
      <c r="A58" s="10" t="s">
        <v>61</v>
      </c>
      <c r="B58" s="11">
        <v>120</v>
      </c>
      <c r="C58" s="11">
        <v>30</v>
      </c>
      <c r="D58" s="11">
        <v>5</v>
      </c>
      <c r="E58" s="12" t="s">
        <v>8</v>
      </c>
      <c r="F58" s="11">
        <v>18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>
      <c r="A59" s="10" t="s">
        <v>62</v>
      </c>
      <c r="B59" s="11">
        <v>120</v>
      </c>
      <c r="C59" s="11">
        <v>30</v>
      </c>
      <c r="D59" s="11">
        <v>8</v>
      </c>
      <c r="E59" s="12" t="s">
        <v>8</v>
      </c>
      <c r="F59" s="11">
        <v>28.8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>
      <c r="A60" s="10" t="s">
        <v>63</v>
      </c>
      <c r="B60" s="11">
        <v>65</v>
      </c>
      <c r="C60" s="11">
        <v>30</v>
      </c>
      <c r="D60" s="11">
        <v>8</v>
      </c>
      <c r="E60" s="12" t="s">
        <v>8</v>
      </c>
      <c r="F60" s="11">
        <v>15.6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>
      <c r="A61" s="5"/>
      <c r="B61" s="4"/>
      <c r="C61" s="4"/>
      <c r="D61" s="4"/>
      <c r="E61" s="6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>
      <c r="A62" s="5"/>
      <c r="B62" s="4"/>
      <c r="C62" s="4"/>
      <c r="D62" s="4"/>
      <c r="E62" s="6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>
      <c r="A63" s="6" t="s">
        <v>64</v>
      </c>
      <c r="B63" s="4"/>
      <c r="C63" s="4"/>
      <c r="D63" s="4"/>
      <c r="E63" s="6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>
      <c r="A64" s="6" t="s">
        <v>65</v>
      </c>
      <c r="B64" s="4"/>
      <c r="C64" s="4"/>
      <c r="D64" s="4"/>
      <c r="E64" s="6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>
      <c r="A65" s="5"/>
      <c r="B65" s="4"/>
      <c r="C65" s="4"/>
      <c r="D65" s="4"/>
      <c r="E65" s="6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>
      <c r="A66" s="6" t="s">
        <v>66</v>
      </c>
      <c r="B66" s="4"/>
      <c r="C66" s="4"/>
      <c r="D66" s="4"/>
      <c r="E66" s="6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>
      <c r="A67" s="5"/>
      <c r="B67" s="4"/>
      <c r="C67" s="4"/>
      <c r="D67" s="4"/>
      <c r="E67" s="6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>
      <c r="A68" s="5"/>
      <c r="B68" s="4"/>
      <c r="C68" s="4"/>
      <c r="D68" s="4"/>
      <c r="E68" s="6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>
      <c r="A69" s="5"/>
      <c r="B69" s="4"/>
      <c r="C69" s="4"/>
      <c r="D69" s="4"/>
      <c r="E69" s="6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>
      <c r="A70" s="5"/>
      <c r="B70" s="4"/>
      <c r="C70" s="4"/>
      <c r="D70" s="4"/>
      <c r="E70" s="6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>
      <c r="A71" s="5"/>
      <c r="B71" s="4"/>
      <c r="C71" s="4"/>
      <c r="D71" s="4"/>
      <c r="E71" s="6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>
      <c r="A72" s="5"/>
      <c r="B72" s="4"/>
      <c r="C72" s="4"/>
      <c r="D72" s="4"/>
      <c r="E72" s="6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>
      <c r="A73" s="5"/>
      <c r="B73" s="4"/>
      <c r="C73" s="4"/>
      <c r="D73" s="4"/>
      <c r="E73" s="6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>
      <c r="A74" s="5"/>
      <c r="B74" s="4"/>
      <c r="C74" s="4"/>
      <c r="D74" s="4"/>
      <c r="E74" s="6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>
      <c r="A75" s="5"/>
      <c r="B75" s="4"/>
      <c r="C75" s="4"/>
      <c r="D75" s="4"/>
      <c r="E75" s="6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>
      <c r="A76" s="5"/>
      <c r="B76" s="4"/>
      <c r="C76" s="4"/>
      <c r="D76" s="4"/>
      <c r="E76" s="6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>
      <c r="A77" s="5"/>
      <c r="B77" s="4"/>
      <c r="C77" s="4"/>
      <c r="D77" s="4"/>
      <c r="E77" s="6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>
      <c r="A78" s="5"/>
      <c r="B78" s="4"/>
      <c r="C78" s="4"/>
      <c r="D78" s="4"/>
      <c r="E78" s="6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>
      <c r="A79" s="5"/>
      <c r="B79" s="4"/>
      <c r="C79" s="4"/>
      <c r="D79" s="4"/>
      <c r="E79" s="6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>
      <c r="A80" s="5"/>
      <c r="B80" s="4"/>
      <c r="C80" s="4"/>
      <c r="D80" s="4"/>
      <c r="E80" s="6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>
      <c r="A81" s="5"/>
      <c r="B81" s="4"/>
      <c r="C81" s="4"/>
      <c r="D81" s="4"/>
      <c r="E81" s="6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>
      <c r="A82" s="5"/>
      <c r="B82" s="4"/>
      <c r="C82" s="4"/>
      <c r="D82" s="4"/>
      <c r="E82" s="6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>
      <c r="A83" s="5"/>
      <c r="B83" s="4"/>
      <c r="C83" s="4"/>
      <c r="D83" s="4"/>
      <c r="E83" s="6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>
      <c r="A84" s="5"/>
      <c r="B84" s="4"/>
      <c r="C84" s="4"/>
      <c r="D84" s="4"/>
      <c r="E84" s="6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>
      <c r="A85" s="5"/>
      <c r="B85" s="4"/>
      <c r="C85" s="4"/>
      <c r="D85" s="4"/>
      <c r="E85" s="6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>
      <c r="A86" s="5"/>
      <c r="B86" s="4"/>
      <c r="C86" s="4"/>
      <c r="D86" s="4"/>
      <c r="E86" s="6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>
      <c r="A87" s="5"/>
      <c r="B87" s="4"/>
      <c r="C87" s="4"/>
      <c r="D87" s="4"/>
      <c r="E87" s="6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>
      <c r="A88" s="5"/>
      <c r="B88" s="4"/>
      <c r="C88" s="4"/>
      <c r="D88" s="4"/>
      <c r="E88" s="6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>
      <c r="A89" s="5"/>
      <c r="B89" s="4"/>
      <c r="C89" s="4"/>
      <c r="D89" s="4"/>
      <c r="E89" s="6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>
      <c r="A90" s="5"/>
      <c r="B90" s="4"/>
      <c r="C90" s="4"/>
      <c r="D90" s="4"/>
      <c r="E90" s="6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>
      <c r="A91" s="5"/>
      <c r="B91" s="4"/>
      <c r="C91" s="4"/>
      <c r="D91" s="4"/>
      <c r="E91" s="6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>
      <c r="A92" s="5"/>
      <c r="B92" s="4"/>
      <c r="C92" s="4"/>
      <c r="D92" s="4"/>
      <c r="E92" s="6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>
      <c r="A93" s="5"/>
      <c r="B93" s="4"/>
      <c r="C93" s="4"/>
      <c r="D93" s="4"/>
      <c r="E93" s="6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>
      <c r="A94" s="5"/>
      <c r="B94" s="4"/>
      <c r="C94" s="4"/>
      <c r="D94" s="4"/>
      <c r="E94" s="6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>
      <c r="A95" s="5"/>
      <c r="B95" s="4"/>
      <c r="C95" s="4"/>
      <c r="D95" s="4"/>
      <c r="E95" s="6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>
      <c r="A96" s="5"/>
      <c r="B96" s="4"/>
      <c r="C96" s="4"/>
      <c r="D96" s="4"/>
      <c r="E96" s="6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>
      <c r="A97" s="5"/>
      <c r="B97" s="4"/>
      <c r="C97" s="4"/>
      <c r="D97" s="4"/>
      <c r="E97" s="6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>
      <c r="A98" s="5"/>
      <c r="B98" s="4"/>
      <c r="C98" s="4"/>
      <c r="D98" s="4"/>
      <c r="E98" s="6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>
      <c r="A99" s="5"/>
      <c r="B99" s="4"/>
      <c r="C99" s="4"/>
      <c r="D99" s="4"/>
      <c r="E99" s="6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>
      <c r="A100" s="5"/>
      <c r="B100" s="4"/>
      <c r="C100" s="4"/>
      <c r="D100" s="4"/>
      <c r="E100" s="6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>
      <c r="A101" s="5"/>
      <c r="B101" s="4"/>
      <c r="C101" s="4"/>
      <c r="D101" s="4"/>
      <c r="E101" s="6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>
      <c r="A102" s="5"/>
      <c r="B102" s="4"/>
      <c r="C102" s="4"/>
      <c r="D102" s="4"/>
      <c r="E102" s="6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>
      <c r="A103" s="5"/>
      <c r="B103" s="4"/>
      <c r="C103" s="4"/>
      <c r="D103" s="4"/>
      <c r="E103" s="6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>
      <c r="A104" s="5"/>
      <c r="B104" s="4"/>
      <c r="C104" s="4"/>
      <c r="D104" s="4"/>
      <c r="E104" s="6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>
      <c r="A105" s="5"/>
      <c r="B105" s="4"/>
      <c r="C105" s="4"/>
      <c r="D105" s="4"/>
      <c r="E105" s="6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>
      <c r="A106" s="5"/>
      <c r="B106" s="4"/>
      <c r="C106" s="4"/>
      <c r="D106" s="4"/>
      <c r="E106" s="6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>
      <c r="A107" s="5"/>
      <c r="B107" s="4"/>
      <c r="C107" s="4"/>
      <c r="D107" s="4"/>
      <c r="E107" s="6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>
      <c r="A108" s="5"/>
      <c r="B108" s="4"/>
      <c r="C108" s="4"/>
      <c r="D108" s="4"/>
      <c r="E108" s="6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>
      <c r="A109" s="5"/>
      <c r="B109" s="4"/>
      <c r="C109" s="4"/>
      <c r="D109" s="4"/>
      <c r="E109" s="6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>
      <c r="A110" s="5"/>
      <c r="B110" s="4"/>
      <c r="C110" s="4"/>
      <c r="D110" s="4"/>
      <c r="E110" s="6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>
      <c r="A111" s="5"/>
      <c r="B111" s="4"/>
      <c r="C111" s="4"/>
      <c r="D111" s="4"/>
      <c r="E111" s="6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>
      <c r="A112" s="5"/>
      <c r="B112" s="4"/>
      <c r="C112" s="4"/>
      <c r="D112" s="4"/>
      <c r="E112" s="6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>
      <c r="A113" s="5"/>
      <c r="B113" s="4"/>
      <c r="C113" s="4"/>
      <c r="D113" s="4"/>
      <c r="E113" s="6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>
      <c r="A114" s="5"/>
      <c r="B114" s="4"/>
      <c r="C114" s="4"/>
      <c r="D114" s="4"/>
      <c r="E114" s="6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>
      <c r="A115" s="5"/>
      <c r="B115" s="4"/>
      <c r="C115" s="4"/>
      <c r="D115" s="4"/>
      <c r="E115" s="6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>
      <c r="A116" s="5"/>
      <c r="B116" s="4"/>
      <c r="C116" s="4"/>
      <c r="D116" s="4"/>
      <c r="E116" s="6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>
      <c r="A117" s="5"/>
      <c r="B117" s="4"/>
      <c r="C117" s="4"/>
      <c r="D117" s="4"/>
      <c r="E117" s="6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>
      <c r="A118" s="5"/>
      <c r="B118" s="4"/>
      <c r="C118" s="4"/>
      <c r="D118" s="4"/>
      <c r="E118" s="6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>
      <c r="A119" s="5"/>
      <c r="B119" s="4"/>
      <c r="C119" s="4"/>
      <c r="D119" s="4"/>
      <c r="E119" s="6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>
      <c r="A120" s="5"/>
      <c r="B120" s="4"/>
      <c r="C120" s="4"/>
      <c r="D120" s="4"/>
      <c r="E120" s="6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>
      <c r="A121" s="5"/>
      <c r="B121" s="4"/>
      <c r="C121" s="4"/>
      <c r="D121" s="4"/>
      <c r="E121" s="6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>
      <c r="A122" s="5"/>
      <c r="B122" s="4"/>
      <c r="C122" s="4"/>
      <c r="D122" s="4"/>
      <c r="E122" s="6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>
      <c r="A123" s="5"/>
      <c r="B123" s="4"/>
      <c r="C123" s="4"/>
      <c r="D123" s="4"/>
      <c r="E123" s="6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>
      <c r="A124" s="5"/>
      <c r="B124" s="4"/>
      <c r="C124" s="4"/>
      <c r="D124" s="4"/>
      <c r="E124" s="6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>
      <c r="A125" s="5"/>
      <c r="B125" s="4"/>
      <c r="C125" s="4"/>
      <c r="D125" s="4"/>
      <c r="E125" s="6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>
      <c r="A126" s="5"/>
      <c r="B126" s="4"/>
      <c r="C126" s="4"/>
      <c r="D126" s="4"/>
      <c r="E126" s="6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>
      <c r="A127" s="5"/>
      <c r="B127" s="4"/>
      <c r="C127" s="4"/>
      <c r="D127" s="4"/>
      <c r="E127" s="6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>
      <c r="A128" s="5"/>
      <c r="B128" s="4"/>
      <c r="C128" s="4"/>
      <c r="D128" s="4"/>
      <c r="E128" s="6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>
      <c r="A129" s="5"/>
      <c r="B129" s="4"/>
      <c r="C129" s="4"/>
      <c r="D129" s="4"/>
      <c r="E129" s="6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>
      <c r="A130" s="5"/>
      <c r="B130" s="4"/>
      <c r="C130" s="4"/>
      <c r="D130" s="4"/>
      <c r="E130" s="6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>
      <c r="A131" s="5"/>
      <c r="B131" s="4"/>
      <c r="C131" s="4"/>
      <c r="D131" s="4"/>
      <c r="E131" s="6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>
      <c r="A132" s="5"/>
      <c r="B132" s="4"/>
      <c r="C132" s="4"/>
      <c r="D132" s="4"/>
      <c r="E132" s="6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>
      <c r="A133" s="5"/>
      <c r="B133" s="4"/>
      <c r="C133" s="4"/>
      <c r="D133" s="4"/>
      <c r="E133" s="6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>
      <c r="A134" s="5"/>
      <c r="B134" s="4"/>
      <c r="C134" s="4"/>
      <c r="D134" s="4"/>
      <c r="E134" s="6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>
      <c r="A135" s="5"/>
      <c r="B135" s="4"/>
      <c r="C135" s="4"/>
      <c r="D135" s="4"/>
      <c r="E135" s="6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>
      <c r="A136" s="5"/>
      <c r="B136" s="4"/>
      <c r="C136" s="4"/>
      <c r="D136" s="4"/>
      <c r="E136" s="6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>
      <c r="A137" s="5"/>
      <c r="B137" s="4"/>
      <c r="C137" s="4"/>
      <c r="D137" s="4"/>
      <c r="E137" s="6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>
      <c r="A138" s="5"/>
      <c r="B138" s="4"/>
      <c r="C138" s="4"/>
      <c r="D138" s="4"/>
      <c r="E138" s="6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>
      <c r="A139" s="5"/>
      <c r="B139" s="4"/>
      <c r="C139" s="4"/>
      <c r="D139" s="4"/>
      <c r="E139" s="6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>
      <c r="A140" s="5"/>
      <c r="B140" s="4"/>
      <c r="C140" s="4"/>
      <c r="D140" s="4"/>
      <c r="E140" s="6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>
      <c r="A141" s="5"/>
      <c r="B141" s="4"/>
      <c r="C141" s="4"/>
      <c r="D141" s="4"/>
      <c r="E141" s="6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>
      <c r="A142" s="5"/>
      <c r="B142" s="4"/>
      <c r="C142" s="4"/>
      <c r="D142" s="4"/>
      <c r="E142" s="6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>
      <c r="A143" s="5"/>
      <c r="B143" s="4"/>
      <c r="C143" s="4"/>
      <c r="D143" s="4"/>
      <c r="E143" s="6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>
      <c r="A144" s="5"/>
      <c r="B144" s="4"/>
      <c r="C144" s="4"/>
      <c r="D144" s="4"/>
      <c r="E144" s="6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>
      <c r="A145" s="5"/>
      <c r="B145" s="4"/>
      <c r="C145" s="4"/>
      <c r="D145" s="4"/>
      <c r="E145" s="6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>
      <c r="A146" s="5"/>
      <c r="B146" s="4"/>
      <c r="C146" s="4"/>
      <c r="D146" s="4"/>
      <c r="E146" s="6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>
      <c r="A147" s="5"/>
      <c r="B147" s="4"/>
      <c r="C147" s="4"/>
      <c r="D147" s="4"/>
      <c r="E147" s="6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>
      <c r="A148" s="5"/>
      <c r="B148" s="4"/>
      <c r="C148" s="4"/>
      <c r="D148" s="4"/>
      <c r="E148" s="6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>
      <c r="A149" s="5"/>
      <c r="B149" s="4"/>
      <c r="C149" s="4"/>
      <c r="D149" s="4"/>
      <c r="E149" s="6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>
      <c r="A150" s="5"/>
      <c r="B150" s="4"/>
      <c r="C150" s="4"/>
      <c r="D150" s="4"/>
      <c r="E150" s="6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>
      <c r="A151" s="5"/>
      <c r="B151" s="4"/>
      <c r="C151" s="4"/>
      <c r="D151" s="4"/>
      <c r="E151" s="6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>
      <c r="A152" s="5"/>
      <c r="B152" s="4"/>
      <c r="C152" s="4"/>
      <c r="D152" s="4"/>
      <c r="E152" s="6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>
      <c r="A153" s="5"/>
      <c r="B153" s="4"/>
      <c r="C153" s="4"/>
      <c r="D153" s="4"/>
      <c r="E153" s="6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>
      <c r="A154" s="5"/>
      <c r="B154" s="4"/>
      <c r="C154" s="4"/>
      <c r="D154" s="4"/>
      <c r="E154" s="6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>
      <c r="A155" s="5"/>
      <c r="B155" s="4"/>
      <c r="C155" s="4"/>
      <c r="D155" s="4"/>
      <c r="E155" s="6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>
      <c r="A156" s="5"/>
      <c r="B156" s="4"/>
      <c r="C156" s="4"/>
      <c r="D156" s="4"/>
      <c r="E156" s="6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>
      <c r="A157" s="5"/>
      <c r="B157" s="4"/>
      <c r="C157" s="4"/>
      <c r="D157" s="4"/>
      <c r="E157" s="6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>
      <c r="A158" s="5"/>
      <c r="B158" s="4"/>
      <c r="C158" s="4"/>
      <c r="D158" s="4"/>
      <c r="E158" s="6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>
      <c r="A159" s="5"/>
      <c r="B159" s="4"/>
      <c r="C159" s="4"/>
      <c r="D159" s="4"/>
      <c r="E159" s="6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>
      <c r="A160" s="5"/>
      <c r="B160" s="4"/>
      <c r="C160" s="4"/>
      <c r="D160" s="4"/>
      <c r="E160" s="6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>
      <c r="A161" s="5"/>
      <c r="B161" s="4"/>
      <c r="C161" s="4"/>
      <c r="D161" s="4"/>
      <c r="E161" s="6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>
      <c r="A162" s="5"/>
      <c r="B162" s="4"/>
      <c r="C162" s="4"/>
      <c r="D162" s="4"/>
      <c r="E162" s="6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>
      <c r="A163" s="5"/>
      <c r="B163" s="4"/>
      <c r="C163" s="4"/>
      <c r="D163" s="4"/>
      <c r="E163" s="6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>
      <c r="A164" s="5"/>
      <c r="B164" s="4"/>
      <c r="C164" s="4"/>
      <c r="D164" s="4"/>
      <c r="E164" s="6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>
      <c r="A165" s="5"/>
      <c r="B165" s="4"/>
      <c r="C165" s="4"/>
      <c r="D165" s="4"/>
      <c r="E165" s="6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>
      <c r="A166" s="5"/>
      <c r="B166" s="4"/>
      <c r="C166" s="4"/>
      <c r="D166" s="4"/>
      <c r="E166" s="6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>
      <c r="A167" s="5"/>
      <c r="B167" s="4"/>
      <c r="C167" s="4"/>
      <c r="D167" s="4"/>
      <c r="E167" s="6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>
      <c r="A168" s="5"/>
      <c r="B168" s="4"/>
      <c r="C168" s="4"/>
      <c r="D168" s="4"/>
      <c r="E168" s="6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>
      <c r="A169" s="5"/>
      <c r="B169" s="4"/>
      <c r="C169" s="4"/>
      <c r="D169" s="4"/>
      <c r="E169" s="6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>
      <c r="A170" s="5"/>
      <c r="B170" s="4"/>
      <c r="C170" s="4"/>
      <c r="D170" s="4"/>
      <c r="E170" s="6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>
      <c r="A171" s="5"/>
      <c r="B171" s="4"/>
      <c r="C171" s="4"/>
      <c r="D171" s="4"/>
      <c r="E171" s="6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>
      <c r="A172" s="5"/>
      <c r="B172" s="4"/>
      <c r="C172" s="4"/>
      <c r="D172" s="4"/>
      <c r="E172" s="6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>
      <c r="A173" s="5"/>
      <c r="B173" s="4"/>
      <c r="C173" s="4"/>
      <c r="D173" s="4"/>
      <c r="E173" s="6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>
      <c r="A174" s="5"/>
      <c r="B174" s="4"/>
      <c r="C174" s="4"/>
      <c r="D174" s="4"/>
      <c r="E174" s="6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>
      <c r="A175" s="5"/>
      <c r="B175" s="4"/>
      <c r="C175" s="4"/>
      <c r="D175" s="4"/>
      <c r="E175" s="6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>
      <c r="A176" s="5"/>
      <c r="B176" s="4"/>
      <c r="C176" s="4"/>
      <c r="D176" s="4"/>
      <c r="E176" s="6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>
      <c r="A177" s="5"/>
      <c r="B177" s="4"/>
      <c r="C177" s="4"/>
      <c r="D177" s="4"/>
      <c r="E177" s="6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>
      <c r="A178" s="5"/>
      <c r="B178" s="4"/>
      <c r="C178" s="4"/>
      <c r="D178" s="4"/>
      <c r="E178" s="6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>
      <c r="A179" s="5"/>
      <c r="B179" s="4"/>
      <c r="C179" s="4"/>
      <c r="D179" s="4"/>
      <c r="E179" s="6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>
      <c r="A180" s="5"/>
      <c r="B180" s="4"/>
      <c r="C180" s="4"/>
      <c r="D180" s="4"/>
      <c r="E180" s="6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>
      <c r="A181" s="5"/>
      <c r="B181" s="4"/>
      <c r="C181" s="4"/>
      <c r="D181" s="4"/>
      <c r="E181" s="6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>
      <c r="A182" s="5"/>
      <c r="B182" s="4"/>
      <c r="C182" s="4"/>
      <c r="D182" s="4"/>
      <c r="E182" s="6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>
      <c r="A183" s="5"/>
      <c r="B183" s="4"/>
      <c r="C183" s="4"/>
      <c r="D183" s="4"/>
      <c r="E183" s="6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>
      <c r="A184" s="5"/>
      <c r="B184" s="4"/>
      <c r="C184" s="4"/>
      <c r="D184" s="4"/>
      <c r="E184" s="6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>
      <c r="A185" s="5"/>
      <c r="B185" s="4"/>
      <c r="C185" s="4"/>
      <c r="D185" s="4"/>
      <c r="E185" s="6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>
      <c r="A186" s="5"/>
      <c r="B186" s="4"/>
      <c r="C186" s="4"/>
      <c r="D186" s="4"/>
      <c r="E186" s="6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>
      <c r="A187" s="5"/>
      <c r="B187" s="4"/>
      <c r="C187" s="4"/>
      <c r="D187" s="4"/>
      <c r="E187" s="6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>
      <c r="A188" s="5"/>
      <c r="B188" s="4"/>
      <c r="C188" s="4"/>
      <c r="D188" s="4"/>
      <c r="E188" s="6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>
      <c r="A189" s="5"/>
      <c r="B189" s="4"/>
      <c r="C189" s="4"/>
      <c r="D189" s="4"/>
      <c r="E189" s="6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>
      <c r="A190" s="5"/>
      <c r="B190" s="4"/>
      <c r="C190" s="4"/>
      <c r="D190" s="4"/>
      <c r="E190" s="6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>
      <c r="A191" s="5"/>
      <c r="B191" s="4"/>
      <c r="C191" s="4"/>
      <c r="D191" s="4"/>
      <c r="E191" s="6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>
      <c r="A192" s="5"/>
      <c r="B192" s="4"/>
      <c r="C192" s="4"/>
      <c r="D192" s="4"/>
      <c r="E192" s="6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>
      <c r="A193" s="5"/>
      <c r="B193" s="4"/>
      <c r="C193" s="4"/>
      <c r="D193" s="4"/>
      <c r="E193" s="6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>
      <c r="A194" s="5"/>
      <c r="B194" s="4"/>
      <c r="C194" s="4"/>
      <c r="D194" s="4"/>
      <c r="E194" s="6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>
      <c r="A195" s="5"/>
      <c r="B195" s="4"/>
      <c r="C195" s="4"/>
      <c r="D195" s="4"/>
      <c r="E195" s="6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>
      <c r="A196" s="5"/>
      <c r="B196" s="4"/>
      <c r="C196" s="4"/>
      <c r="D196" s="4"/>
      <c r="E196" s="6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>
      <c r="A197" s="5"/>
      <c r="B197" s="4"/>
      <c r="C197" s="4"/>
      <c r="D197" s="4"/>
      <c r="E197" s="6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>
      <c r="A198" s="5"/>
      <c r="B198" s="4"/>
      <c r="C198" s="4"/>
      <c r="D198" s="4"/>
      <c r="E198" s="6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>
      <c r="A199" s="5"/>
      <c r="B199" s="4"/>
      <c r="C199" s="4"/>
      <c r="D199" s="4"/>
      <c r="E199" s="6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>
      <c r="A200" s="5"/>
      <c r="B200" s="4"/>
      <c r="C200" s="4"/>
      <c r="D200" s="4"/>
      <c r="E200" s="6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>
      <c r="A201" s="5"/>
      <c r="B201" s="4"/>
      <c r="C201" s="4"/>
      <c r="D201" s="4"/>
      <c r="E201" s="6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>
      <c r="A202" s="5"/>
      <c r="B202" s="4"/>
      <c r="C202" s="4"/>
      <c r="D202" s="4"/>
      <c r="E202" s="6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>
      <c r="A203" s="5"/>
      <c r="B203" s="4"/>
      <c r="C203" s="4"/>
      <c r="D203" s="4"/>
      <c r="E203" s="6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>
      <c r="A204" s="5"/>
      <c r="B204" s="4"/>
      <c r="C204" s="4"/>
      <c r="D204" s="4"/>
      <c r="E204" s="6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>
      <c r="A205" s="5"/>
      <c r="B205" s="4"/>
      <c r="C205" s="4"/>
      <c r="D205" s="4"/>
      <c r="E205" s="6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>
      <c r="A206" s="5"/>
      <c r="B206" s="4"/>
      <c r="C206" s="4"/>
      <c r="D206" s="4"/>
      <c r="E206" s="6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>
      <c r="A207" s="5"/>
      <c r="B207" s="4"/>
      <c r="C207" s="4"/>
      <c r="D207" s="4"/>
      <c r="E207" s="6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>
      <c r="A208" s="5"/>
      <c r="B208" s="4"/>
      <c r="C208" s="4"/>
      <c r="D208" s="4"/>
      <c r="E208" s="6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>
      <c r="A209" s="5"/>
      <c r="B209" s="4"/>
      <c r="C209" s="4"/>
      <c r="D209" s="4"/>
      <c r="E209" s="6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>
      <c r="A210" s="5"/>
      <c r="B210" s="4"/>
      <c r="C210" s="4"/>
      <c r="D210" s="4"/>
      <c r="E210" s="6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>
      <c r="A211" s="5"/>
      <c r="B211" s="4"/>
      <c r="C211" s="4"/>
      <c r="D211" s="4"/>
      <c r="E211" s="6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>
      <c r="A212" s="5"/>
      <c r="B212" s="4"/>
      <c r="C212" s="4"/>
      <c r="D212" s="4"/>
      <c r="E212" s="6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>
      <c r="A213" s="5"/>
      <c r="B213" s="4"/>
      <c r="C213" s="4"/>
      <c r="D213" s="4"/>
      <c r="E213" s="6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>
      <c r="A214" s="5"/>
      <c r="B214" s="4"/>
      <c r="C214" s="4"/>
      <c r="D214" s="4"/>
      <c r="E214" s="6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>
      <c r="A215" s="5"/>
      <c r="B215" s="4"/>
      <c r="C215" s="4"/>
      <c r="D215" s="4"/>
      <c r="E215" s="6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>
      <c r="A216" s="5"/>
      <c r="B216" s="4"/>
      <c r="C216" s="4"/>
      <c r="D216" s="4"/>
      <c r="E216" s="6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>
      <c r="A217" s="5"/>
      <c r="B217" s="4"/>
      <c r="C217" s="4"/>
      <c r="D217" s="4"/>
      <c r="E217" s="6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>
      <c r="A218" s="5"/>
      <c r="B218" s="4"/>
      <c r="C218" s="4"/>
      <c r="D218" s="4"/>
      <c r="E218" s="6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>
      <c r="A219" s="5"/>
      <c r="B219" s="4"/>
      <c r="C219" s="4"/>
      <c r="D219" s="4"/>
      <c r="E219" s="6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>
      <c r="A220" s="5"/>
      <c r="B220" s="4"/>
      <c r="C220" s="4"/>
      <c r="D220" s="4"/>
      <c r="E220" s="6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>
      <c r="A221" s="5"/>
      <c r="B221" s="4"/>
      <c r="C221" s="4"/>
      <c r="D221" s="4"/>
      <c r="E221" s="6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>
      <c r="A222" s="5"/>
      <c r="B222" s="4"/>
      <c r="C222" s="4"/>
      <c r="D222" s="4"/>
      <c r="E222" s="6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>
      <c r="A223" s="5"/>
      <c r="B223" s="4"/>
      <c r="C223" s="4"/>
      <c r="D223" s="4"/>
      <c r="E223" s="6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>
      <c r="A224" s="5"/>
      <c r="B224" s="4"/>
      <c r="C224" s="4"/>
      <c r="D224" s="4"/>
      <c r="E224" s="6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>
      <c r="A225" s="5"/>
      <c r="B225" s="4"/>
      <c r="C225" s="4"/>
      <c r="D225" s="4"/>
      <c r="E225" s="6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>
      <c r="A226" s="5"/>
      <c r="B226" s="4"/>
      <c r="C226" s="4"/>
      <c r="D226" s="4"/>
      <c r="E226" s="6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>
      <c r="A227" s="5"/>
      <c r="B227" s="4"/>
      <c r="C227" s="4"/>
      <c r="D227" s="4"/>
      <c r="E227" s="6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>
      <c r="A228" s="5"/>
      <c r="B228" s="4"/>
      <c r="C228" s="4"/>
      <c r="D228" s="4"/>
      <c r="E228" s="6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>
      <c r="A229" s="5"/>
      <c r="B229" s="4"/>
      <c r="C229" s="4"/>
      <c r="D229" s="4"/>
      <c r="E229" s="6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>
      <c r="A230" s="5"/>
      <c r="B230" s="4"/>
      <c r="C230" s="4"/>
      <c r="D230" s="4"/>
      <c r="E230" s="6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>
      <c r="A231" s="5"/>
      <c r="B231" s="4"/>
      <c r="C231" s="4"/>
      <c r="D231" s="4"/>
      <c r="E231" s="6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>
      <c r="A232" s="5"/>
      <c r="B232" s="4"/>
      <c r="C232" s="4"/>
      <c r="D232" s="4"/>
      <c r="E232" s="6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>
      <c r="A233" s="5"/>
      <c r="B233" s="4"/>
      <c r="C233" s="4"/>
      <c r="D233" s="4"/>
      <c r="E233" s="6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>
      <c r="A234" s="5"/>
      <c r="B234" s="4"/>
      <c r="C234" s="4"/>
      <c r="D234" s="4"/>
      <c r="E234" s="6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>
      <c r="A235" s="5"/>
      <c r="B235" s="4"/>
      <c r="C235" s="4"/>
      <c r="D235" s="4"/>
      <c r="E235" s="6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>
      <c r="A236" s="5"/>
      <c r="B236" s="4"/>
      <c r="C236" s="4"/>
      <c r="D236" s="4"/>
      <c r="E236" s="6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>
      <c r="A237" s="5"/>
      <c r="B237" s="4"/>
      <c r="C237" s="4"/>
      <c r="D237" s="4"/>
      <c r="E237" s="6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>
      <c r="A238" s="5"/>
      <c r="B238" s="4"/>
      <c r="C238" s="4"/>
      <c r="D238" s="4"/>
      <c r="E238" s="6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>
      <c r="A239" s="5"/>
      <c r="B239" s="4"/>
      <c r="C239" s="4"/>
      <c r="D239" s="4"/>
      <c r="E239" s="6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>
      <c r="A240" s="5"/>
      <c r="B240" s="4"/>
      <c r="C240" s="4"/>
      <c r="D240" s="4"/>
      <c r="E240" s="6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>
      <c r="A241" s="5"/>
      <c r="B241" s="4"/>
      <c r="C241" s="4"/>
      <c r="D241" s="4"/>
      <c r="E241" s="6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>
      <c r="A242" s="5"/>
      <c r="B242" s="4"/>
      <c r="C242" s="4"/>
      <c r="D242" s="4"/>
      <c r="E242" s="6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>
      <c r="A243" s="5"/>
      <c r="B243" s="4"/>
      <c r="C243" s="4"/>
      <c r="D243" s="4"/>
      <c r="E243" s="6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>
      <c r="A244" s="5"/>
      <c r="B244" s="4"/>
      <c r="C244" s="4"/>
      <c r="D244" s="4"/>
      <c r="E244" s="6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>
      <c r="A245" s="5"/>
      <c r="B245" s="4"/>
      <c r="C245" s="4"/>
      <c r="D245" s="4"/>
      <c r="E245" s="6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>
      <c r="A246" s="5"/>
      <c r="B246" s="4"/>
      <c r="C246" s="4"/>
      <c r="D246" s="4"/>
      <c r="E246" s="6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>
      <c r="A247" s="5"/>
      <c r="B247" s="4"/>
      <c r="C247" s="4"/>
      <c r="D247" s="4"/>
      <c r="E247" s="6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>
      <c r="A248" s="5"/>
      <c r="B248" s="4"/>
      <c r="C248" s="4"/>
      <c r="D248" s="4"/>
      <c r="E248" s="6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>
      <c r="A249" s="5"/>
      <c r="B249" s="4"/>
      <c r="C249" s="4"/>
      <c r="D249" s="4"/>
      <c r="E249" s="6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>
      <c r="A250" s="5"/>
      <c r="B250" s="4"/>
      <c r="C250" s="4"/>
      <c r="D250" s="4"/>
      <c r="E250" s="6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>
      <c r="A251" s="5"/>
      <c r="B251" s="4"/>
      <c r="C251" s="4"/>
      <c r="D251" s="4"/>
      <c r="E251" s="6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>
      <c r="A252" s="5"/>
      <c r="B252" s="4"/>
      <c r="C252" s="4"/>
      <c r="D252" s="4"/>
      <c r="E252" s="6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>
      <c r="A253" s="5"/>
      <c r="B253" s="4"/>
      <c r="C253" s="4"/>
      <c r="D253" s="4"/>
      <c r="E253" s="6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>
      <c r="A254" s="5"/>
      <c r="B254" s="4"/>
      <c r="C254" s="4"/>
      <c r="D254" s="4"/>
      <c r="E254" s="6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>
      <c r="A255" s="5"/>
      <c r="B255" s="4"/>
      <c r="C255" s="4"/>
      <c r="D255" s="4"/>
      <c r="E255" s="6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>
      <c r="A256" s="5"/>
      <c r="B256" s="4"/>
      <c r="C256" s="4"/>
      <c r="D256" s="4"/>
      <c r="E256" s="6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>
      <c r="A257" s="5"/>
      <c r="B257" s="4"/>
      <c r="C257" s="4"/>
      <c r="D257" s="4"/>
      <c r="E257" s="6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>
      <c r="A258" s="5"/>
      <c r="B258" s="4"/>
      <c r="C258" s="4"/>
      <c r="D258" s="4"/>
      <c r="E258" s="6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>
      <c r="A259" s="5"/>
      <c r="B259" s="4"/>
      <c r="C259" s="4"/>
      <c r="D259" s="4"/>
      <c r="E259" s="6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>
      <c r="A260" s="5"/>
      <c r="B260" s="4"/>
      <c r="C260" s="4"/>
      <c r="D260" s="4"/>
      <c r="E260" s="6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>
      <c r="A261" s="5"/>
      <c r="B261" s="4"/>
      <c r="C261" s="4"/>
      <c r="D261" s="4"/>
      <c r="E261" s="6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>
      <c r="A262" s="5"/>
      <c r="B262" s="4"/>
      <c r="C262" s="4"/>
      <c r="D262" s="4"/>
      <c r="E262" s="6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>
      <c r="A263" s="5"/>
      <c r="B263" s="4"/>
      <c r="C263" s="4"/>
      <c r="D263" s="4"/>
      <c r="E263" s="6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>
      <c r="A264" s="5"/>
      <c r="B264" s="4"/>
      <c r="C264" s="4"/>
      <c r="D264" s="4"/>
      <c r="E264" s="6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>
      <c r="A265" s="5"/>
      <c r="B265" s="4"/>
      <c r="C265" s="4"/>
      <c r="D265" s="4"/>
      <c r="E265" s="6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>
      <c r="A266" s="5"/>
      <c r="B266" s="4"/>
      <c r="C266" s="4"/>
      <c r="D266" s="4"/>
      <c r="E266" s="6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>
      <c r="A267" s="5"/>
      <c r="B267" s="4"/>
      <c r="C267" s="4"/>
      <c r="D267" s="4"/>
      <c r="E267" s="6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>
      <c r="A268" s="5"/>
      <c r="B268" s="4"/>
      <c r="C268" s="4"/>
      <c r="D268" s="4"/>
      <c r="E268" s="6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>
      <c r="A269" s="5"/>
      <c r="B269" s="4"/>
      <c r="C269" s="4"/>
      <c r="D269" s="4"/>
      <c r="E269" s="6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>
      <c r="A270" s="5"/>
      <c r="B270" s="4"/>
      <c r="C270" s="4"/>
      <c r="D270" s="4"/>
      <c r="E270" s="6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>
      <c r="A271" s="5"/>
      <c r="B271" s="4"/>
      <c r="C271" s="4"/>
      <c r="D271" s="4"/>
      <c r="E271" s="6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>
      <c r="A272" s="5"/>
      <c r="B272" s="4"/>
      <c r="C272" s="4"/>
      <c r="D272" s="4"/>
      <c r="E272" s="6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>
      <c r="A273" s="5"/>
      <c r="B273" s="4"/>
      <c r="C273" s="4"/>
      <c r="D273" s="4"/>
      <c r="E273" s="6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>
      <c r="A274" s="5"/>
      <c r="B274" s="4"/>
      <c r="C274" s="4"/>
      <c r="D274" s="4"/>
      <c r="E274" s="6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>
      <c r="A275" s="5"/>
      <c r="B275" s="4"/>
      <c r="C275" s="4"/>
      <c r="D275" s="4"/>
      <c r="E275" s="6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>
      <c r="A276" s="5"/>
      <c r="B276" s="4"/>
      <c r="C276" s="4"/>
      <c r="D276" s="4"/>
      <c r="E276" s="6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>
      <c r="A277" s="5"/>
      <c r="B277" s="4"/>
      <c r="C277" s="4"/>
      <c r="D277" s="4"/>
      <c r="E277" s="6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>
      <c r="A278" s="5"/>
      <c r="B278" s="4"/>
      <c r="C278" s="4"/>
      <c r="D278" s="4"/>
      <c r="E278" s="6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>
      <c r="A279" s="5"/>
      <c r="B279" s="4"/>
      <c r="C279" s="4"/>
      <c r="D279" s="4"/>
      <c r="E279" s="6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>
      <c r="A280" s="5"/>
      <c r="B280" s="4"/>
      <c r="C280" s="4"/>
      <c r="D280" s="4"/>
      <c r="E280" s="6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>
      <c r="A281" s="5"/>
      <c r="B281" s="4"/>
      <c r="C281" s="4"/>
      <c r="D281" s="4"/>
      <c r="E281" s="6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>
      <c r="A282" s="5"/>
      <c r="B282" s="4"/>
      <c r="C282" s="4"/>
      <c r="D282" s="4"/>
      <c r="E282" s="6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>
      <c r="A283" s="5"/>
      <c r="B283" s="4"/>
      <c r="C283" s="4"/>
      <c r="D283" s="4"/>
      <c r="E283" s="6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>
      <c r="A284" s="5"/>
      <c r="B284" s="4"/>
      <c r="C284" s="4"/>
      <c r="D284" s="4"/>
      <c r="E284" s="6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>
      <c r="A285" s="5"/>
      <c r="B285" s="4"/>
      <c r="C285" s="4"/>
      <c r="D285" s="4"/>
      <c r="E285" s="6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>
      <c r="A286" s="5"/>
      <c r="B286" s="4"/>
      <c r="C286" s="4"/>
      <c r="D286" s="4"/>
      <c r="E286" s="6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>
      <c r="A287" s="5"/>
      <c r="B287" s="4"/>
      <c r="C287" s="4"/>
      <c r="D287" s="4"/>
      <c r="E287" s="6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>
      <c r="A288" s="5"/>
      <c r="B288" s="4"/>
      <c r="C288" s="4"/>
      <c r="D288" s="4"/>
      <c r="E288" s="6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>
      <c r="A289" s="5"/>
      <c r="B289" s="4"/>
      <c r="C289" s="4"/>
      <c r="D289" s="4"/>
      <c r="E289" s="6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>
      <c r="A290" s="5"/>
      <c r="B290" s="4"/>
      <c r="C290" s="4"/>
      <c r="D290" s="4"/>
      <c r="E290" s="6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>
      <c r="A291" s="5"/>
      <c r="B291" s="4"/>
      <c r="C291" s="4"/>
      <c r="D291" s="4"/>
      <c r="E291" s="6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>
      <c r="A292" s="5"/>
      <c r="B292" s="4"/>
      <c r="C292" s="4"/>
      <c r="D292" s="4"/>
      <c r="E292" s="6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>
      <c r="A293" s="5"/>
      <c r="B293" s="4"/>
      <c r="C293" s="4"/>
      <c r="D293" s="4"/>
      <c r="E293" s="6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>
      <c r="A294" s="5"/>
      <c r="B294" s="4"/>
      <c r="C294" s="4"/>
      <c r="D294" s="4"/>
      <c r="E294" s="6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>
      <c r="A295" s="5"/>
      <c r="B295" s="4"/>
      <c r="C295" s="4"/>
      <c r="D295" s="4"/>
      <c r="E295" s="6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>
      <c r="A296" s="5"/>
      <c r="B296" s="4"/>
      <c r="C296" s="4"/>
      <c r="D296" s="4"/>
      <c r="E296" s="6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>
      <c r="A297" s="5"/>
      <c r="B297" s="4"/>
      <c r="C297" s="4"/>
      <c r="D297" s="4"/>
      <c r="E297" s="6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>
      <c r="A298" s="5"/>
      <c r="B298" s="4"/>
      <c r="C298" s="4"/>
      <c r="D298" s="4"/>
      <c r="E298" s="6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>
      <c r="A299" s="5"/>
      <c r="B299" s="4"/>
      <c r="C299" s="4"/>
      <c r="D299" s="4"/>
      <c r="E299" s="6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>
      <c r="A300" s="5"/>
      <c r="B300" s="4"/>
      <c r="C300" s="4"/>
      <c r="D300" s="4"/>
      <c r="E300" s="6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>
      <c r="A301" s="5"/>
      <c r="B301" s="4"/>
      <c r="C301" s="4"/>
      <c r="D301" s="4"/>
      <c r="E301" s="6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>
      <c r="A302" s="5"/>
      <c r="B302" s="4"/>
      <c r="C302" s="4"/>
      <c r="D302" s="4"/>
      <c r="E302" s="6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>
      <c r="A303" s="5"/>
      <c r="B303" s="4"/>
      <c r="C303" s="4"/>
      <c r="D303" s="4"/>
      <c r="E303" s="6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>
      <c r="A304" s="5"/>
      <c r="B304" s="4"/>
      <c r="C304" s="4"/>
      <c r="D304" s="4"/>
      <c r="E304" s="6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>
      <c r="A305" s="5"/>
      <c r="B305" s="4"/>
      <c r="C305" s="4"/>
      <c r="D305" s="4"/>
      <c r="E305" s="6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>
      <c r="A306" s="5"/>
      <c r="B306" s="4"/>
      <c r="C306" s="4"/>
      <c r="D306" s="4"/>
      <c r="E306" s="6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>
      <c r="A307" s="5"/>
      <c r="B307" s="4"/>
      <c r="C307" s="4"/>
      <c r="D307" s="4"/>
      <c r="E307" s="6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>
      <c r="A308" s="5"/>
      <c r="B308" s="4"/>
      <c r="C308" s="4"/>
      <c r="D308" s="4"/>
      <c r="E308" s="6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>
      <c r="A309" s="5"/>
      <c r="B309" s="4"/>
      <c r="C309" s="4"/>
      <c r="D309" s="4"/>
      <c r="E309" s="6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>
      <c r="A310" s="5"/>
      <c r="B310" s="4"/>
      <c r="C310" s="4"/>
      <c r="D310" s="4"/>
      <c r="E310" s="6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>
      <c r="A311" s="5"/>
      <c r="B311" s="4"/>
      <c r="C311" s="4"/>
      <c r="D311" s="4"/>
      <c r="E311" s="6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>
      <c r="A312" s="5"/>
      <c r="B312" s="4"/>
      <c r="C312" s="4"/>
      <c r="D312" s="4"/>
      <c r="E312" s="6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>
      <c r="A313" s="5"/>
      <c r="B313" s="4"/>
      <c r="C313" s="4"/>
      <c r="D313" s="4"/>
      <c r="E313" s="6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>
      <c r="A314" s="5"/>
      <c r="B314" s="4"/>
      <c r="C314" s="4"/>
      <c r="D314" s="4"/>
      <c r="E314" s="6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>
      <c r="A315" s="5"/>
      <c r="B315" s="4"/>
      <c r="C315" s="4"/>
      <c r="D315" s="4"/>
      <c r="E315" s="6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>
      <c r="A316" s="5"/>
      <c r="B316" s="4"/>
      <c r="C316" s="4"/>
      <c r="D316" s="4"/>
      <c r="E316" s="6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>
      <c r="A317" s="5"/>
      <c r="B317" s="4"/>
      <c r="C317" s="4"/>
      <c r="D317" s="4"/>
      <c r="E317" s="6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>
      <c r="A318" s="5"/>
      <c r="B318" s="4"/>
      <c r="C318" s="4"/>
      <c r="D318" s="4"/>
      <c r="E318" s="6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>
      <c r="A319" s="5"/>
      <c r="B319" s="4"/>
      <c r="C319" s="4"/>
      <c r="D319" s="4"/>
      <c r="E319" s="6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>
      <c r="A320" s="5"/>
      <c r="B320" s="4"/>
      <c r="C320" s="4"/>
      <c r="D320" s="4"/>
      <c r="E320" s="6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>
      <c r="A321" s="5"/>
      <c r="B321" s="4"/>
      <c r="C321" s="4"/>
      <c r="D321" s="4"/>
      <c r="E321" s="6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>
      <c r="A322" s="5"/>
      <c r="B322" s="4"/>
      <c r="C322" s="4"/>
      <c r="D322" s="4"/>
      <c r="E322" s="6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>
      <c r="A323" s="5"/>
      <c r="B323" s="4"/>
      <c r="C323" s="4"/>
      <c r="D323" s="4"/>
      <c r="E323" s="6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>
      <c r="A324" s="5"/>
      <c r="B324" s="4"/>
      <c r="C324" s="4"/>
      <c r="D324" s="4"/>
      <c r="E324" s="6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>
      <c r="A325" s="5"/>
      <c r="B325" s="4"/>
      <c r="C325" s="4"/>
      <c r="D325" s="4"/>
      <c r="E325" s="6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>
      <c r="A326" s="5"/>
      <c r="B326" s="4"/>
      <c r="C326" s="4"/>
      <c r="D326" s="4"/>
      <c r="E326" s="6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>
      <c r="A327" s="5"/>
      <c r="B327" s="4"/>
      <c r="C327" s="4"/>
      <c r="D327" s="4"/>
      <c r="E327" s="6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>
      <c r="A328" s="5"/>
      <c r="B328" s="4"/>
      <c r="C328" s="4"/>
      <c r="D328" s="4"/>
      <c r="E328" s="6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>
      <c r="A329" s="5"/>
      <c r="B329" s="4"/>
      <c r="C329" s="4"/>
      <c r="D329" s="4"/>
      <c r="E329" s="6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>
      <c r="A330" s="5"/>
      <c r="B330" s="4"/>
      <c r="C330" s="4"/>
      <c r="D330" s="4"/>
      <c r="E330" s="6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>
      <c r="A331" s="5"/>
      <c r="B331" s="4"/>
      <c r="C331" s="4"/>
      <c r="D331" s="4"/>
      <c r="E331" s="6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>
      <c r="A332" s="5"/>
      <c r="B332" s="4"/>
      <c r="C332" s="4"/>
      <c r="D332" s="4"/>
      <c r="E332" s="6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>
      <c r="A333" s="5"/>
      <c r="B333" s="4"/>
      <c r="C333" s="4"/>
      <c r="D333" s="4"/>
      <c r="E333" s="6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>
      <c r="A334" s="5"/>
      <c r="B334" s="4"/>
      <c r="C334" s="4"/>
      <c r="D334" s="4"/>
      <c r="E334" s="6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>
      <c r="A335" s="5"/>
      <c r="B335" s="4"/>
      <c r="C335" s="4"/>
      <c r="D335" s="4"/>
      <c r="E335" s="6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>
      <c r="A336" s="5"/>
      <c r="B336" s="4"/>
      <c r="C336" s="4"/>
      <c r="D336" s="4"/>
      <c r="E336" s="6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>
      <c r="A337" s="5"/>
      <c r="B337" s="4"/>
      <c r="C337" s="4"/>
      <c r="D337" s="4"/>
      <c r="E337" s="6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>
      <c r="A338" s="5"/>
      <c r="B338" s="4"/>
      <c r="C338" s="4"/>
      <c r="D338" s="4"/>
      <c r="E338" s="6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>
      <c r="A339" s="5"/>
      <c r="B339" s="4"/>
      <c r="C339" s="4"/>
      <c r="D339" s="4"/>
      <c r="E339" s="6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>
      <c r="A340" s="5"/>
      <c r="B340" s="4"/>
      <c r="C340" s="4"/>
      <c r="D340" s="4"/>
      <c r="E340" s="6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>
      <c r="A341" s="5"/>
      <c r="B341" s="4"/>
      <c r="C341" s="4"/>
      <c r="D341" s="4"/>
      <c r="E341" s="6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>
      <c r="A342" s="5"/>
      <c r="B342" s="4"/>
      <c r="C342" s="4"/>
      <c r="D342" s="4"/>
      <c r="E342" s="6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>
      <c r="A343" s="5"/>
      <c r="B343" s="4"/>
      <c r="C343" s="4"/>
      <c r="D343" s="4"/>
      <c r="E343" s="6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>
      <c r="A344" s="5"/>
      <c r="B344" s="4"/>
      <c r="C344" s="4"/>
      <c r="D344" s="4"/>
      <c r="E344" s="6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>
      <c r="A345" s="5"/>
      <c r="B345" s="4"/>
      <c r="C345" s="4"/>
      <c r="D345" s="4"/>
      <c r="E345" s="6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>
      <c r="A346" s="5"/>
      <c r="B346" s="4"/>
      <c r="C346" s="4"/>
      <c r="D346" s="4"/>
      <c r="E346" s="6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>
      <c r="A347" s="5"/>
      <c r="B347" s="4"/>
      <c r="C347" s="4"/>
      <c r="D347" s="4"/>
      <c r="E347" s="6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>
      <c r="A348" s="5"/>
      <c r="B348" s="4"/>
      <c r="C348" s="4"/>
      <c r="D348" s="4"/>
      <c r="E348" s="6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>
      <c r="A349" s="5"/>
      <c r="B349" s="4"/>
      <c r="C349" s="4"/>
      <c r="D349" s="4"/>
      <c r="E349" s="6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>
      <c r="A350" s="5"/>
      <c r="B350" s="4"/>
      <c r="C350" s="4"/>
      <c r="D350" s="4"/>
      <c r="E350" s="6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>
      <c r="A351" s="5"/>
      <c r="B351" s="4"/>
      <c r="C351" s="4"/>
      <c r="D351" s="4"/>
      <c r="E351" s="6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>
      <c r="A352" s="5"/>
      <c r="B352" s="4"/>
      <c r="C352" s="4"/>
      <c r="D352" s="4"/>
      <c r="E352" s="6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>
      <c r="A353" s="5"/>
      <c r="B353" s="4"/>
      <c r="C353" s="4"/>
      <c r="D353" s="4"/>
      <c r="E353" s="6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>
      <c r="A354" s="5"/>
      <c r="B354" s="4"/>
      <c r="C354" s="4"/>
      <c r="D354" s="4"/>
      <c r="E354" s="6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>
      <c r="A355" s="5"/>
      <c r="B355" s="4"/>
      <c r="C355" s="4"/>
      <c r="D355" s="4"/>
      <c r="E355" s="6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>
      <c r="A356" s="5"/>
      <c r="B356" s="4"/>
      <c r="C356" s="4"/>
      <c r="D356" s="4"/>
      <c r="E356" s="6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>
      <c r="A357" s="5"/>
      <c r="B357" s="4"/>
      <c r="C357" s="4"/>
      <c r="D357" s="4"/>
      <c r="E357" s="6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>
      <c r="A358" s="5"/>
      <c r="B358" s="4"/>
      <c r="C358" s="4"/>
      <c r="D358" s="4"/>
      <c r="E358" s="6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>
      <c r="A359" s="5"/>
      <c r="B359" s="4"/>
      <c r="C359" s="4"/>
      <c r="D359" s="4"/>
      <c r="E359" s="6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>
      <c r="A360" s="5"/>
      <c r="B360" s="4"/>
      <c r="C360" s="4"/>
      <c r="D360" s="4"/>
      <c r="E360" s="6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>
      <c r="A361" s="5"/>
      <c r="B361" s="4"/>
      <c r="C361" s="4"/>
      <c r="D361" s="4"/>
      <c r="E361" s="6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>
      <c r="A362" s="5"/>
      <c r="B362" s="4"/>
      <c r="C362" s="4"/>
      <c r="D362" s="4"/>
      <c r="E362" s="6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>
      <c r="A363" s="5"/>
      <c r="B363" s="4"/>
      <c r="C363" s="4"/>
      <c r="D363" s="4"/>
      <c r="E363" s="6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>
      <c r="A364" s="5"/>
      <c r="B364" s="4"/>
      <c r="C364" s="4"/>
      <c r="D364" s="4"/>
      <c r="E364" s="6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>
      <c r="A365" s="5"/>
      <c r="B365" s="4"/>
      <c r="C365" s="4"/>
      <c r="D365" s="4"/>
      <c r="E365" s="6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>
      <c r="A366" s="5"/>
      <c r="B366" s="4"/>
      <c r="C366" s="4"/>
      <c r="D366" s="4"/>
      <c r="E366" s="6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>
      <c r="A367" s="5"/>
      <c r="B367" s="4"/>
      <c r="C367" s="4"/>
      <c r="D367" s="4"/>
      <c r="E367" s="6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>
      <c r="A368" s="5"/>
      <c r="B368" s="4"/>
      <c r="C368" s="4"/>
      <c r="D368" s="4"/>
      <c r="E368" s="6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>
      <c r="A369" s="5"/>
      <c r="B369" s="4"/>
      <c r="C369" s="4"/>
      <c r="D369" s="4"/>
      <c r="E369" s="6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>
      <c r="A370" s="5"/>
      <c r="B370" s="4"/>
      <c r="C370" s="4"/>
      <c r="D370" s="4"/>
      <c r="E370" s="6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>
      <c r="A371" s="5"/>
      <c r="B371" s="4"/>
      <c r="C371" s="4"/>
      <c r="D371" s="4"/>
      <c r="E371" s="6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>
      <c r="A372" s="5"/>
      <c r="B372" s="4"/>
      <c r="C372" s="4"/>
      <c r="D372" s="4"/>
      <c r="E372" s="6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>
      <c r="A373" s="5"/>
      <c r="B373" s="4"/>
      <c r="C373" s="4"/>
      <c r="D373" s="4"/>
      <c r="E373" s="6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>
      <c r="A374" s="5"/>
      <c r="B374" s="4"/>
      <c r="C374" s="4"/>
      <c r="D374" s="4"/>
      <c r="E374" s="6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>
      <c r="A375" s="5"/>
      <c r="B375" s="4"/>
      <c r="C375" s="4"/>
      <c r="D375" s="4"/>
      <c r="E375" s="6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>
      <c r="A376" s="5"/>
      <c r="B376" s="4"/>
      <c r="C376" s="4"/>
      <c r="D376" s="4"/>
      <c r="E376" s="6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>
      <c r="A377" s="5"/>
      <c r="B377" s="4"/>
      <c r="C377" s="4"/>
      <c r="D377" s="4"/>
      <c r="E377" s="6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>
      <c r="A378" s="5"/>
      <c r="B378" s="4"/>
      <c r="C378" s="4"/>
      <c r="D378" s="4"/>
      <c r="E378" s="6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>
      <c r="A379" s="5"/>
      <c r="B379" s="4"/>
      <c r="C379" s="4"/>
      <c r="D379" s="4"/>
      <c r="E379" s="6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>
      <c r="A380" s="5"/>
      <c r="B380" s="4"/>
      <c r="C380" s="4"/>
      <c r="D380" s="4"/>
      <c r="E380" s="6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>
      <c r="A381" s="5"/>
      <c r="B381" s="4"/>
      <c r="C381" s="4"/>
      <c r="D381" s="4"/>
      <c r="E381" s="6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>
      <c r="A382" s="5"/>
      <c r="B382" s="4"/>
      <c r="C382" s="4"/>
      <c r="D382" s="4"/>
      <c r="E382" s="6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>
      <c r="A383" s="5"/>
      <c r="B383" s="4"/>
      <c r="C383" s="4"/>
      <c r="D383" s="4"/>
      <c r="E383" s="6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>
      <c r="A384" s="5"/>
      <c r="B384" s="4"/>
      <c r="C384" s="4"/>
      <c r="D384" s="4"/>
      <c r="E384" s="6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>
      <c r="A385" s="5"/>
      <c r="B385" s="4"/>
      <c r="C385" s="4"/>
      <c r="D385" s="4"/>
      <c r="E385" s="6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>
      <c r="A386" s="5"/>
      <c r="B386" s="4"/>
      <c r="C386" s="4"/>
      <c r="D386" s="4"/>
      <c r="E386" s="6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>
      <c r="A387" s="5"/>
      <c r="B387" s="4"/>
      <c r="C387" s="4"/>
      <c r="D387" s="4"/>
      <c r="E387" s="6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>
      <c r="A388" s="5"/>
      <c r="B388" s="4"/>
      <c r="C388" s="4"/>
      <c r="D388" s="4"/>
      <c r="E388" s="6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>
      <c r="A389" s="5"/>
      <c r="B389" s="4"/>
      <c r="C389" s="4"/>
      <c r="D389" s="4"/>
      <c r="E389" s="6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>
      <c r="A390" s="5"/>
      <c r="B390" s="4"/>
      <c r="C390" s="4"/>
      <c r="D390" s="4"/>
      <c r="E390" s="6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>
      <c r="A391" s="5"/>
      <c r="B391" s="4"/>
      <c r="C391" s="4"/>
      <c r="D391" s="4"/>
      <c r="E391" s="6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>
      <c r="A392" s="5"/>
      <c r="B392" s="4"/>
      <c r="C392" s="4"/>
      <c r="D392" s="4"/>
      <c r="E392" s="6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>
      <c r="A393" s="5"/>
      <c r="B393" s="4"/>
      <c r="C393" s="4"/>
      <c r="D393" s="4"/>
      <c r="E393" s="6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>
      <c r="A394" s="5"/>
      <c r="B394" s="4"/>
      <c r="C394" s="4"/>
      <c r="D394" s="4"/>
      <c r="E394" s="6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>
      <c r="A395" s="5"/>
      <c r="B395" s="4"/>
      <c r="C395" s="4"/>
      <c r="D395" s="4"/>
      <c r="E395" s="6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>
      <c r="A396" s="5"/>
      <c r="B396" s="4"/>
      <c r="C396" s="4"/>
      <c r="D396" s="4"/>
      <c r="E396" s="6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>
      <c r="A397" s="5"/>
      <c r="B397" s="4"/>
      <c r="C397" s="4"/>
      <c r="D397" s="4"/>
      <c r="E397" s="6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>
      <c r="A398" s="5"/>
      <c r="B398" s="4"/>
      <c r="C398" s="4"/>
      <c r="D398" s="4"/>
      <c r="E398" s="6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>
      <c r="A399" s="5"/>
      <c r="B399" s="4"/>
      <c r="C399" s="4"/>
      <c r="D399" s="4"/>
      <c r="E399" s="6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>
      <c r="A400" s="5"/>
      <c r="B400" s="4"/>
      <c r="C400" s="4"/>
      <c r="D400" s="4"/>
      <c r="E400" s="6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>
      <c r="A401" s="5"/>
      <c r="B401" s="4"/>
      <c r="C401" s="4"/>
      <c r="D401" s="4"/>
      <c r="E401" s="6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>
      <c r="A402" s="5"/>
      <c r="B402" s="4"/>
      <c r="C402" s="4"/>
      <c r="D402" s="4"/>
      <c r="E402" s="6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>
      <c r="A403" s="5"/>
      <c r="B403" s="4"/>
      <c r="C403" s="4"/>
      <c r="D403" s="4"/>
      <c r="E403" s="6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>
      <c r="A404" s="5"/>
      <c r="B404" s="4"/>
      <c r="C404" s="4"/>
      <c r="D404" s="4"/>
      <c r="E404" s="6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>
      <c r="A405" s="5"/>
      <c r="B405" s="4"/>
      <c r="C405" s="4"/>
      <c r="D405" s="4"/>
      <c r="E405" s="6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>
      <c r="A406" s="5"/>
      <c r="B406" s="4"/>
      <c r="C406" s="4"/>
      <c r="D406" s="4"/>
      <c r="E406" s="6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>
      <c r="A407" s="5"/>
      <c r="B407" s="4"/>
      <c r="C407" s="4"/>
      <c r="D407" s="4"/>
      <c r="E407" s="6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>
      <c r="A408" s="5"/>
      <c r="B408" s="4"/>
      <c r="C408" s="4"/>
      <c r="D408" s="4"/>
      <c r="E408" s="6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>
      <c r="A409" s="5"/>
      <c r="B409" s="4"/>
      <c r="C409" s="4"/>
      <c r="D409" s="4"/>
      <c r="E409" s="6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>
      <c r="A410" s="5"/>
      <c r="B410" s="4"/>
      <c r="C410" s="4"/>
      <c r="D410" s="4"/>
      <c r="E410" s="6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>
      <c r="A411" s="5"/>
      <c r="B411" s="4"/>
      <c r="C411" s="4"/>
      <c r="D411" s="4"/>
      <c r="E411" s="6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>
      <c r="A412" s="5"/>
      <c r="B412" s="4"/>
      <c r="C412" s="4"/>
      <c r="D412" s="4"/>
      <c r="E412" s="6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>
      <c r="A413" s="5"/>
      <c r="B413" s="4"/>
      <c r="C413" s="4"/>
      <c r="D413" s="4"/>
      <c r="E413" s="6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>
      <c r="A414" s="5"/>
      <c r="B414" s="4"/>
      <c r="C414" s="4"/>
      <c r="D414" s="4"/>
      <c r="E414" s="6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>
      <c r="A415" s="5"/>
      <c r="B415" s="4"/>
      <c r="C415" s="4"/>
      <c r="D415" s="4"/>
      <c r="E415" s="6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>
      <c r="A416" s="5"/>
      <c r="B416" s="4"/>
      <c r="C416" s="4"/>
      <c r="D416" s="4"/>
      <c r="E416" s="6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>
      <c r="A417" s="5"/>
      <c r="B417" s="4"/>
      <c r="C417" s="4"/>
      <c r="D417" s="4"/>
      <c r="E417" s="6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>
      <c r="A418" s="5"/>
      <c r="B418" s="4"/>
      <c r="C418" s="4"/>
      <c r="D418" s="4"/>
      <c r="E418" s="6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>
      <c r="A419" s="5"/>
      <c r="B419" s="4"/>
      <c r="C419" s="4"/>
      <c r="D419" s="4"/>
      <c r="E419" s="6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>
      <c r="A420" s="5"/>
      <c r="B420" s="4"/>
      <c r="C420" s="4"/>
      <c r="D420" s="4"/>
      <c r="E420" s="6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>
      <c r="A421" s="5"/>
      <c r="B421" s="4"/>
      <c r="C421" s="4"/>
      <c r="D421" s="4"/>
      <c r="E421" s="6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>
      <c r="A422" s="5"/>
      <c r="B422" s="4"/>
      <c r="C422" s="4"/>
      <c r="D422" s="4"/>
      <c r="E422" s="6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>
      <c r="A423" s="5"/>
      <c r="B423" s="4"/>
      <c r="C423" s="4"/>
      <c r="D423" s="4"/>
      <c r="E423" s="6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>
      <c r="A424" s="5"/>
      <c r="B424" s="4"/>
      <c r="C424" s="4"/>
      <c r="D424" s="4"/>
      <c r="E424" s="6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>
      <c r="A425" s="5"/>
      <c r="B425" s="4"/>
      <c r="C425" s="4"/>
      <c r="D425" s="4"/>
      <c r="E425" s="6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>
      <c r="A426" s="5"/>
      <c r="B426" s="4"/>
      <c r="C426" s="4"/>
      <c r="D426" s="4"/>
      <c r="E426" s="6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>
      <c r="A427" s="5"/>
      <c r="B427" s="4"/>
      <c r="C427" s="4"/>
      <c r="D427" s="4"/>
      <c r="E427" s="6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>
      <c r="A428" s="5"/>
      <c r="B428" s="4"/>
      <c r="C428" s="4"/>
      <c r="D428" s="4"/>
      <c r="E428" s="6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>
      <c r="A429" s="5"/>
      <c r="B429" s="4"/>
      <c r="C429" s="4"/>
      <c r="D429" s="4"/>
      <c r="E429" s="6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>
      <c r="A430" s="5"/>
      <c r="B430" s="4"/>
      <c r="C430" s="4"/>
      <c r="D430" s="4"/>
      <c r="E430" s="6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>
      <c r="A431" s="5"/>
      <c r="B431" s="4"/>
      <c r="C431" s="4"/>
      <c r="D431" s="4"/>
      <c r="E431" s="6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>
      <c r="A432" s="5"/>
      <c r="B432" s="4"/>
      <c r="C432" s="4"/>
      <c r="D432" s="4"/>
      <c r="E432" s="6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>
      <c r="A433" s="5"/>
      <c r="B433" s="4"/>
      <c r="C433" s="4"/>
      <c r="D433" s="4"/>
      <c r="E433" s="6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>
      <c r="A434" s="5"/>
      <c r="B434" s="4"/>
      <c r="C434" s="4"/>
      <c r="D434" s="4"/>
      <c r="E434" s="6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>
      <c r="A435" s="5"/>
      <c r="B435" s="4"/>
      <c r="C435" s="4"/>
      <c r="D435" s="4"/>
      <c r="E435" s="6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>
      <c r="A436" s="5"/>
      <c r="B436" s="4"/>
      <c r="C436" s="4"/>
      <c r="D436" s="4"/>
      <c r="E436" s="6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>
      <c r="A437" s="5"/>
      <c r="B437" s="4"/>
      <c r="C437" s="4"/>
      <c r="D437" s="4"/>
      <c r="E437" s="6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>
      <c r="A438" s="5"/>
      <c r="B438" s="4"/>
      <c r="C438" s="4"/>
      <c r="D438" s="4"/>
      <c r="E438" s="6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>
      <c r="A439" s="5"/>
      <c r="B439" s="4"/>
      <c r="C439" s="4"/>
      <c r="D439" s="4"/>
      <c r="E439" s="6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>
      <c r="A440" s="5"/>
      <c r="B440" s="4"/>
      <c r="C440" s="4"/>
      <c r="D440" s="4"/>
      <c r="E440" s="6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>
      <c r="A441" s="5"/>
      <c r="B441" s="4"/>
      <c r="C441" s="4"/>
      <c r="D441" s="4"/>
      <c r="E441" s="6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>
      <c r="A442" s="5"/>
      <c r="B442" s="4"/>
      <c r="C442" s="4"/>
      <c r="D442" s="4"/>
      <c r="E442" s="6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>
      <c r="A443" s="5"/>
      <c r="B443" s="4"/>
      <c r="C443" s="4"/>
      <c r="D443" s="4"/>
      <c r="E443" s="6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>
      <c r="A444" s="5"/>
      <c r="B444" s="4"/>
      <c r="C444" s="4"/>
      <c r="D444" s="4"/>
      <c r="E444" s="6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>
      <c r="A445" s="5"/>
      <c r="B445" s="4"/>
      <c r="C445" s="4"/>
      <c r="D445" s="4"/>
      <c r="E445" s="6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>
      <c r="A446" s="5"/>
      <c r="B446" s="4"/>
      <c r="C446" s="4"/>
      <c r="D446" s="4"/>
      <c r="E446" s="6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>
      <c r="A447" s="5"/>
      <c r="B447" s="4"/>
      <c r="C447" s="4"/>
      <c r="D447" s="4"/>
      <c r="E447" s="6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>
      <c r="A448" s="5"/>
      <c r="B448" s="4"/>
      <c r="C448" s="4"/>
      <c r="D448" s="4"/>
      <c r="E448" s="6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>
      <c r="A449" s="5"/>
      <c r="B449" s="4"/>
      <c r="C449" s="4"/>
      <c r="D449" s="4"/>
      <c r="E449" s="6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>
      <c r="A450" s="5"/>
      <c r="B450" s="4"/>
      <c r="C450" s="4"/>
      <c r="D450" s="4"/>
      <c r="E450" s="6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>
      <c r="A451" s="5"/>
      <c r="B451" s="4"/>
      <c r="C451" s="4"/>
      <c r="D451" s="4"/>
      <c r="E451" s="6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>
      <c r="A452" s="5"/>
      <c r="B452" s="4"/>
      <c r="C452" s="4"/>
      <c r="D452" s="4"/>
      <c r="E452" s="6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>
      <c r="A453" s="5"/>
      <c r="B453" s="4"/>
      <c r="C453" s="4"/>
      <c r="D453" s="4"/>
      <c r="E453" s="6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>
      <c r="A454" s="5"/>
      <c r="B454" s="4"/>
      <c r="C454" s="4"/>
      <c r="D454" s="4"/>
      <c r="E454" s="6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>
      <c r="A455" s="5"/>
      <c r="B455" s="4"/>
      <c r="C455" s="4"/>
      <c r="D455" s="4"/>
      <c r="E455" s="6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>
      <c r="A456" s="5"/>
      <c r="B456" s="4"/>
      <c r="C456" s="4"/>
      <c r="D456" s="4"/>
      <c r="E456" s="6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>
      <c r="A457" s="5"/>
      <c r="B457" s="4"/>
      <c r="C457" s="4"/>
      <c r="D457" s="4"/>
      <c r="E457" s="6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>
      <c r="A458" s="5"/>
      <c r="B458" s="4"/>
      <c r="C458" s="4"/>
      <c r="D458" s="4"/>
      <c r="E458" s="6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>
      <c r="A459" s="5"/>
      <c r="B459" s="4"/>
      <c r="C459" s="4"/>
      <c r="D459" s="4"/>
      <c r="E459" s="6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>
      <c r="A460" s="5"/>
      <c r="B460" s="4"/>
      <c r="C460" s="4"/>
      <c r="D460" s="4"/>
      <c r="E460" s="6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>
      <c r="A461" s="5"/>
      <c r="B461" s="4"/>
      <c r="C461" s="4"/>
      <c r="D461" s="4"/>
      <c r="E461" s="6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>
      <c r="A462" s="5"/>
      <c r="B462" s="4"/>
      <c r="C462" s="4"/>
      <c r="D462" s="4"/>
      <c r="E462" s="6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>
      <c r="A463" s="5"/>
      <c r="B463" s="4"/>
      <c r="C463" s="4"/>
      <c r="D463" s="4"/>
      <c r="E463" s="6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>
      <c r="A464" s="5"/>
      <c r="B464" s="4"/>
      <c r="C464" s="4"/>
      <c r="D464" s="4"/>
      <c r="E464" s="6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>
      <c r="A465" s="5"/>
      <c r="B465" s="4"/>
      <c r="C465" s="4"/>
      <c r="D465" s="4"/>
      <c r="E465" s="6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>
      <c r="A466" s="5"/>
      <c r="B466" s="4"/>
      <c r="C466" s="4"/>
      <c r="D466" s="4"/>
      <c r="E466" s="6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>
      <c r="A467" s="5"/>
      <c r="B467" s="4"/>
      <c r="C467" s="4"/>
      <c r="D467" s="4"/>
      <c r="E467" s="6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>
      <c r="A468" s="5"/>
      <c r="B468" s="4"/>
      <c r="C468" s="4"/>
      <c r="D468" s="4"/>
      <c r="E468" s="6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>
      <c r="A469" s="5"/>
      <c r="B469" s="4"/>
      <c r="C469" s="4"/>
      <c r="D469" s="4"/>
      <c r="E469" s="6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>
      <c r="A470" s="5"/>
      <c r="B470" s="4"/>
      <c r="C470" s="4"/>
      <c r="D470" s="4"/>
      <c r="E470" s="6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>
      <c r="A471" s="5"/>
      <c r="B471" s="4"/>
      <c r="C471" s="4"/>
      <c r="D471" s="4"/>
      <c r="E471" s="6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>
      <c r="A472" s="5"/>
      <c r="B472" s="4"/>
      <c r="C472" s="4"/>
      <c r="D472" s="4"/>
      <c r="E472" s="6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>
      <c r="A473" s="5"/>
      <c r="B473" s="4"/>
      <c r="C473" s="4"/>
      <c r="D473" s="4"/>
      <c r="E473" s="6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>
      <c r="A474" s="5"/>
      <c r="B474" s="4"/>
      <c r="C474" s="4"/>
      <c r="D474" s="4"/>
      <c r="E474" s="6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>
      <c r="A475" s="5"/>
      <c r="B475" s="4"/>
      <c r="C475" s="4"/>
      <c r="D475" s="4"/>
      <c r="E475" s="6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>
      <c r="A476" s="5"/>
      <c r="B476" s="4"/>
      <c r="C476" s="4"/>
      <c r="D476" s="4"/>
      <c r="E476" s="6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>
      <c r="A477" s="5"/>
      <c r="B477" s="4"/>
      <c r="C477" s="4"/>
      <c r="D477" s="4"/>
      <c r="E477" s="6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>
      <c r="A478" s="5"/>
      <c r="B478" s="4"/>
      <c r="C478" s="4"/>
      <c r="D478" s="4"/>
      <c r="E478" s="6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>
      <c r="A479" s="5"/>
      <c r="B479" s="4"/>
      <c r="C479" s="4"/>
      <c r="D479" s="4"/>
      <c r="E479" s="6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>
      <c r="A480" s="5"/>
      <c r="B480" s="4"/>
      <c r="C480" s="4"/>
      <c r="D480" s="4"/>
      <c r="E480" s="6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>
      <c r="A481" s="5"/>
      <c r="B481" s="4"/>
      <c r="C481" s="4"/>
      <c r="D481" s="4"/>
      <c r="E481" s="6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>
      <c r="A482" s="5"/>
      <c r="B482" s="4"/>
      <c r="C482" s="4"/>
      <c r="D482" s="4"/>
      <c r="E482" s="6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>
      <c r="A483" s="5"/>
      <c r="B483" s="4"/>
      <c r="C483" s="4"/>
      <c r="D483" s="4"/>
      <c r="E483" s="6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>
      <c r="A484" s="5"/>
      <c r="B484" s="4"/>
      <c r="C484" s="4"/>
      <c r="D484" s="4"/>
      <c r="E484" s="6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>
      <c r="A485" s="5"/>
      <c r="B485" s="4"/>
      <c r="C485" s="4"/>
      <c r="D485" s="4"/>
      <c r="E485" s="6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>
      <c r="A486" s="5"/>
      <c r="B486" s="4"/>
      <c r="C486" s="4"/>
      <c r="D486" s="4"/>
      <c r="E486" s="6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>
      <c r="A487" s="5"/>
      <c r="B487" s="4"/>
      <c r="C487" s="4"/>
      <c r="D487" s="4"/>
      <c r="E487" s="6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>
      <c r="A488" s="5"/>
      <c r="B488" s="4"/>
      <c r="C488" s="4"/>
      <c r="D488" s="4"/>
      <c r="E488" s="6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>
      <c r="A489" s="5"/>
      <c r="B489" s="4"/>
      <c r="C489" s="4"/>
      <c r="D489" s="4"/>
      <c r="E489" s="6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>
      <c r="A490" s="5"/>
      <c r="B490" s="4"/>
      <c r="C490" s="4"/>
      <c r="D490" s="4"/>
      <c r="E490" s="6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>
      <c r="A491" s="5"/>
      <c r="B491" s="4"/>
      <c r="C491" s="4"/>
      <c r="D491" s="4"/>
      <c r="E491" s="6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>
      <c r="A492" s="5"/>
      <c r="B492" s="4"/>
      <c r="C492" s="4"/>
      <c r="D492" s="4"/>
      <c r="E492" s="6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>
      <c r="A493" s="5"/>
      <c r="B493" s="4"/>
      <c r="C493" s="4"/>
      <c r="D493" s="4"/>
      <c r="E493" s="6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>
      <c r="A494" s="5"/>
      <c r="B494" s="4"/>
      <c r="C494" s="4"/>
      <c r="D494" s="4"/>
      <c r="E494" s="6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>
      <c r="A495" s="5"/>
      <c r="B495" s="4"/>
      <c r="C495" s="4"/>
      <c r="D495" s="4"/>
      <c r="E495" s="6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>
      <c r="A496" s="5"/>
      <c r="B496" s="4"/>
      <c r="C496" s="4"/>
      <c r="D496" s="4"/>
      <c r="E496" s="6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>
      <c r="A497" s="5"/>
      <c r="B497" s="4"/>
      <c r="C497" s="4"/>
      <c r="D497" s="4"/>
      <c r="E497" s="6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>
      <c r="A498" s="5"/>
      <c r="B498" s="4"/>
      <c r="C498" s="4"/>
      <c r="D498" s="4"/>
      <c r="E498" s="6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>
      <c r="A499" s="5"/>
      <c r="B499" s="4"/>
      <c r="C499" s="4"/>
      <c r="D499" s="4"/>
      <c r="E499" s="6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>
      <c r="A500" s="5"/>
      <c r="B500" s="4"/>
      <c r="C500" s="4"/>
      <c r="D500" s="4"/>
      <c r="E500" s="6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>
      <c r="A501" s="5"/>
      <c r="B501" s="4"/>
      <c r="C501" s="4"/>
      <c r="D501" s="4"/>
      <c r="E501" s="6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>
      <c r="A502" s="5"/>
      <c r="B502" s="4"/>
      <c r="C502" s="4"/>
      <c r="D502" s="4"/>
      <c r="E502" s="6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>
      <c r="A503" s="5"/>
      <c r="B503" s="4"/>
      <c r="C503" s="4"/>
      <c r="D503" s="4"/>
      <c r="E503" s="6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>
      <c r="A504" s="5"/>
      <c r="B504" s="4"/>
      <c r="C504" s="4"/>
      <c r="D504" s="4"/>
      <c r="E504" s="6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>
      <c r="A505" s="5"/>
      <c r="B505" s="4"/>
      <c r="C505" s="4"/>
      <c r="D505" s="4"/>
      <c r="E505" s="6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>
      <c r="A506" s="5"/>
      <c r="B506" s="4"/>
      <c r="C506" s="4"/>
      <c r="D506" s="4"/>
      <c r="E506" s="6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>
      <c r="A507" s="5"/>
      <c r="B507" s="4"/>
      <c r="C507" s="4"/>
      <c r="D507" s="4"/>
      <c r="E507" s="6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>
      <c r="A508" s="5"/>
      <c r="B508" s="4"/>
      <c r="C508" s="4"/>
      <c r="D508" s="4"/>
      <c r="E508" s="6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>
      <c r="A509" s="5"/>
      <c r="B509" s="4"/>
      <c r="C509" s="4"/>
      <c r="D509" s="4"/>
      <c r="E509" s="6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>
      <c r="A510" s="5"/>
      <c r="B510" s="4"/>
      <c r="C510" s="4"/>
      <c r="D510" s="4"/>
      <c r="E510" s="6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>
      <c r="A511" s="5"/>
      <c r="B511" s="4"/>
      <c r="C511" s="4"/>
      <c r="D511" s="4"/>
      <c r="E511" s="6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>
      <c r="A512" s="5"/>
      <c r="B512" s="4"/>
      <c r="C512" s="4"/>
      <c r="D512" s="4"/>
      <c r="E512" s="6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>
      <c r="A513" s="5"/>
      <c r="B513" s="4"/>
      <c r="C513" s="4"/>
      <c r="D513" s="4"/>
      <c r="E513" s="6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>
      <c r="A514" s="5"/>
      <c r="B514" s="4"/>
      <c r="C514" s="4"/>
      <c r="D514" s="4"/>
      <c r="E514" s="6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>
      <c r="A515" s="5"/>
      <c r="B515" s="4"/>
      <c r="C515" s="4"/>
      <c r="D515" s="4"/>
      <c r="E515" s="6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>
      <c r="A516" s="5"/>
      <c r="B516" s="4"/>
      <c r="C516" s="4"/>
      <c r="D516" s="4"/>
      <c r="E516" s="6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>
      <c r="A517" s="5"/>
      <c r="B517" s="4"/>
      <c r="C517" s="4"/>
      <c r="D517" s="4"/>
      <c r="E517" s="6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>
      <c r="A518" s="5"/>
      <c r="B518" s="4"/>
      <c r="C518" s="4"/>
      <c r="D518" s="4"/>
      <c r="E518" s="6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>
      <c r="A519" s="5"/>
      <c r="B519" s="4"/>
      <c r="C519" s="4"/>
      <c r="D519" s="4"/>
      <c r="E519" s="6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>
      <c r="A520" s="5"/>
      <c r="B520" s="4"/>
      <c r="C520" s="4"/>
      <c r="D520" s="4"/>
      <c r="E520" s="6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>
      <c r="A521" s="5"/>
      <c r="B521" s="4"/>
      <c r="C521" s="4"/>
      <c r="D521" s="4"/>
      <c r="E521" s="6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>
      <c r="A522" s="5"/>
      <c r="B522" s="4"/>
      <c r="C522" s="4"/>
      <c r="D522" s="4"/>
      <c r="E522" s="6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>
      <c r="A523" s="5"/>
      <c r="B523" s="4"/>
      <c r="C523" s="4"/>
      <c r="D523" s="4"/>
      <c r="E523" s="6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>
      <c r="A524" s="5"/>
      <c r="B524" s="4"/>
      <c r="C524" s="4"/>
      <c r="D524" s="4"/>
      <c r="E524" s="6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>
      <c r="A525" s="5"/>
      <c r="B525" s="4"/>
      <c r="C525" s="4"/>
      <c r="D525" s="4"/>
      <c r="E525" s="6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>
      <c r="A526" s="5"/>
      <c r="B526" s="4"/>
      <c r="C526" s="4"/>
      <c r="D526" s="4"/>
      <c r="E526" s="6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>
      <c r="A527" s="5"/>
      <c r="B527" s="4"/>
      <c r="C527" s="4"/>
      <c r="D527" s="4"/>
      <c r="E527" s="6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>
      <c r="A528" s="5"/>
      <c r="B528" s="4"/>
      <c r="C528" s="4"/>
      <c r="D528" s="4"/>
      <c r="E528" s="6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>
      <c r="A529" s="5"/>
      <c r="B529" s="4"/>
      <c r="C529" s="4"/>
      <c r="D529" s="4"/>
      <c r="E529" s="6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>
      <c r="A530" s="5"/>
      <c r="B530" s="4"/>
      <c r="C530" s="4"/>
      <c r="D530" s="4"/>
      <c r="E530" s="6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>
      <c r="A531" s="5"/>
      <c r="B531" s="4"/>
      <c r="C531" s="4"/>
      <c r="D531" s="4"/>
      <c r="E531" s="6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>
      <c r="A532" s="5"/>
      <c r="B532" s="4"/>
      <c r="C532" s="4"/>
      <c r="D532" s="4"/>
      <c r="E532" s="6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>
      <c r="A533" s="5"/>
      <c r="B533" s="4"/>
      <c r="C533" s="4"/>
      <c r="D533" s="4"/>
      <c r="E533" s="6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>
      <c r="A534" s="5"/>
      <c r="B534" s="4"/>
      <c r="C534" s="4"/>
      <c r="D534" s="4"/>
      <c r="E534" s="6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>
      <c r="A535" s="5"/>
      <c r="B535" s="4"/>
      <c r="C535" s="4"/>
      <c r="D535" s="4"/>
      <c r="E535" s="6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>
      <c r="A536" s="5"/>
      <c r="B536" s="4"/>
      <c r="C536" s="4"/>
      <c r="D536" s="4"/>
      <c r="E536" s="6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>
      <c r="A537" s="5"/>
      <c r="B537" s="4"/>
      <c r="C537" s="4"/>
      <c r="D537" s="4"/>
      <c r="E537" s="6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>
      <c r="A538" s="5"/>
      <c r="B538" s="4"/>
      <c r="C538" s="4"/>
      <c r="D538" s="4"/>
      <c r="E538" s="6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>
      <c r="A539" s="5"/>
      <c r="B539" s="4"/>
      <c r="C539" s="4"/>
      <c r="D539" s="4"/>
      <c r="E539" s="6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>
      <c r="A540" s="5"/>
      <c r="B540" s="4"/>
      <c r="C540" s="4"/>
      <c r="D540" s="4"/>
      <c r="E540" s="6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>
      <c r="A541" s="5"/>
      <c r="B541" s="4"/>
      <c r="C541" s="4"/>
      <c r="D541" s="4"/>
      <c r="E541" s="6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>
      <c r="A542" s="5"/>
      <c r="B542" s="4"/>
      <c r="C542" s="4"/>
      <c r="D542" s="4"/>
      <c r="E542" s="6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>
      <c r="A543" s="5"/>
      <c r="B543" s="4"/>
      <c r="C543" s="4"/>
      <c r="D543" s="4"/>
      <c r="E543" s="6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>
      <c r="A544" s="5"/>
      <c r="B544" s="4"/>
      <c r="C544" s="4"/>
      <c r="D544" s="4"/>
      <c r="E544" s="6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>
      <c r="A545" s="5"/>
      <c r="B545" s="4"/>
      <c r="C545" s="4"/>
      <c r="D545" s="4"/>
      <c r="E545" s="6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>
      <c r="A546" s="5"/>
      <c r="B546" s="4"/>
      <c r="C546" s="4"/>
      <c r="D546" s="4"/>
      <c r="E546" s="6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>
      <c r="A547" s="5"/>
      <c r="B547" s="4"/>
      <c r="C547" s="4"/>
      <c r="D547" s="4"/>
      <c r="E547" s="6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>
      <c r="A548" s="5"/>
      <c r="B548" s="4"/>
      <c r="C548" s="4"/>
      <c r="D548" s="4"/>
      <c r="E548" s="6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>
      <c r="A549" s="5"/>
      <c r="B549" s="4"/>
      <c r="C549" s="4"/>
      <c r="D549" s="4"/>
      <c r="E549" s="6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>
      <c r="A550" s="5"/>
      <c r="B550" s="4"/>
      <c r="C550" s="4"/>
      <c r="D550" s="4"/>
      <c r="E550" s="6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>
      <c r="A551" s="5"/>
      <c r="B551" s="4"/>
      <c r="C551" s="4"/>
      <c r="D551" s="4"/>
      <c r="E551" s="6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>
      <c r="A552" s="5"/>
      <c r="B552" s="4"/>
      <c r="C552" s="4"/>
      <c r="D552" s="4"/>
      <c r="E552" s="6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>
      <c r="A553" s="5"/>
      <c r="B553" s="4"/>
      <c r="C553" s="4"/>
      <c r="D553" s="4"/>
      <c r="E553" s="6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>
      <c r="A554" s="5"/>
      <c r="B554" s="4"/>
      <c r="C554" s="4"/>
      <c r="D554" s="4"/>
      <c r="E554" s="6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>
      <c r="A555" s="5"/>
      <c r="B555" s="4"/>
      <c r="C555" s="4"/>
      <c r="D555" s="4"/>
      <c r="E555" s="6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>
      <c r="A556" s="5"/>
      <c r="B556" s="4"/>
      <c r="C556" s="4"/>
      <c r="D556" s="4"/>
      <c r="E556" s="6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>
      <c r="A557" s="5"/>
      <c r="B557" s="4"/>
      <c r="C557" s="4"/>
      <c r="D557" s="4"/>
      <c r="E557" s="6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>
      <c r="A558" s="5"/>
      <c r="B558" s="4"/>
      <c r="C558" s="4"/>
      <c r="D558" s="4"/>
      <c r="E558" s="6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>
      <c r="A559" s="5"/>
      <c r="B559" s="4"/>
      <c r="C559" s="4"/>
      <c r="D559" s="4"/>
      <c r="E559" s="6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>
      <c r="A560" s="5"/>
      <c r="B560" s="4"/>
      <c r="C560" s="4"/>
      <c r="D560" s="4"/>
      <c r="E560" s="6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>
      <c r="A561" s="5"/>
      <c r="B561" s="4"/>
      <c r="C561" s="4"/>
      <c r="D561" s="4"/>
      <c r="E561" s="6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>
      <c r="A562" s="5"/>
      <c r="B562" s="4"/>
      <c r="C562" s="4"/>
      <c r="D562" s="4"/>
      <c r="E562" s="6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>
      <c r="A563" s="5"/>
      <c r="B563" s="4"/>
      <c r="C563" s="4"/>
      <c r="D563" s="4"/>
      <c r="E563" s="6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>
      <c r="A564" s="5"/>
      <c r="B564" s="4"/>
      <c r="C564" s="4"/>
      <c r="D564" s="4"/>
      <c r="E564" s="6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>
      <c r="A565" s="5"/>
      <c r="B565" s="4"/>
      <c r="C565" s="4"/>
      <c r="D565" s="4"/>
      <c r="E565" s="6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>
      <c r="A566" s="5"/>
      <c r="B566" s="4"/>
      <c r="C566" s="4"/>
      <c r="D566" s="4"/>
      <c r="E566" s="6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>
      <c r="A567" s="5"/>
      <c r="B567" s="4"/>
      <c r="C567" s="4"/>
      <c r="D567" s="4"/>
      <c r="E567" s="6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>
      <c r="A568" s="5"/>
      <c r="B568" s="4"/>
      <c r="C568" s="4"/>
      <c r="D568" s="4"/>
      <c r="E568" s="6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>
      <c r="A569" s="5"/>
      <c r="B569" s="4"/>
      <c r="C569" s="4"/>
      <c r="D569" s="4"/>
      <c r="E569" s="6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>
      <c r="A570" s="5"/>
      <c r="B570" s="4"/>
      <c r="C570" s="4"/>
      <c r="D570" s="4"/>
      <c r="E570" s="6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>
      <c r="A571" s="5"/>
      <c r="B571" s="4"/>
      <c r="C571" s="4"/>
      <c r="D571" s="4"/>
      <c r="E571" s="6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>
      <c r="A572" s="5"/>
      <c r="B572" s="4"/>
      <c r="C572" s="4"/>
      <c r="D572" s="4"/>
      <c r="E572" s="6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>
      <c r="A573" s="5"/>
      <c r="B573" s="4"/>
      <c r="C573" s="4"/>
      <c r="D573" s="4"/>
      <c r="E573" s="6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>
      <c r="A574" s="5"/>
      <c r="B574" s="4"/>
      <c r="C574" s="4"/>
      <c r="D574" s="4"/>
      <c r="E574" s="6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>
      <c r="A575" s="5"/>
      <c r="B575" s="4"/>
      <c r="C575" s="4"/>
      <c r="D575" s="4"/>
      <c r="E575" s="6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>
      <c r="A576" s="5"/>
      <c r="B576" s="4"/>
      <c r="C576" s="4"/>
      <c r="D576" s="4"/>
      <c r="E576" s="6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>
      <c r="A577" s="5"/>
      <c r="B577" s="4"/>
      <c r="C577" s="4"/>
      <c r="D577" s="4"/>
      <c r="E577" s="6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>
      <c r="A578" s="5"/>
      <c r="B578" s="4"/>
      <c r="C578" s="4"/>
      <c r="D578" s="4"/>
      <c r="E578" s="6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>
      <c r="A579" s="5"/>
      <c r="B579" s="4"/>
      <c r="C579" s="4"/>
      <c r="D579" s="4"/>
      <c r="E579" s="6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>
      <c r="A580" s="5"/>
      <c r="B580" s="4"/>
      <c r="C580" s="4"/>
      <c r="D580" s="4"/>
      <c r="E580" s="6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>
      <c r="A581" s="5"/>
      <c r="B581" s="4"/>
      <c r="C581" s="4"/>
      <c r="D581" s="4"/>
      <c r="E581" s="6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>
      <c r="A582" s="5"/>
      <c r="B582" s="4"/>
      <c r="C582" s="4"/>
      <c r="D582" s="4"/>
      <c r="E582" s="6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>
      <c r="A583" s="5"/>
      <c r="B583" s="4"/>
      <c r="C583" s="4"/>
      <c r="D583" s="4"/>
      <c r="E583" s="6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>
      <c r="A584" s="5"/>
      <c r="B584" s="4"/>
      <c r="C584" s="4"/>
      <c r="D584" s="4"/>
      <c r="E584" s="6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>
      <c r="A585" s="5"/>
      <c r="B585" s="4"/>
      <c r="C585" s="4"/>
      <c r="D585" s="4"/>
      <c r="E585" s="6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>
      <c r="A586" s="5"/>
      <c r="B586" s="4"/>
      <c r="C586" s="4"/>
      <c r="D586" s="4"/>
      <c r="E586" s="6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>
      <c r="A587" s="5"/>
      <c r="B587" s="4"/>
      <c r="C587" s="4"/>
      <c r="D587" s="4"/>
      <c r="E587" s="6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>
      <c r="A588" s="5"/>
      <c r="B588" s="4"/>
      <c r="C588" s="4"/>
      <c r="D588" s="4"/>
      <c r="E588" s="6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>
      <c r="A589" s="5"/>
      <c r="B589" s="4"/>
      <c r="C589" s="4"/>
      <c r="D589" s="4"/>
      <c r="E589" s="6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>
      <c r="A590" s="5"/>
      <c r="B590" s="4"/>
      <c r="C590" s="4"/>
      <c r="D590" s="4"/>
      <c r="E590" s="6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>
      <c r="A591" s="5"/>
      <c r="B591" s="4"/>
      <c r="C591" s="4"/>
      <c r="D591" s="4"/>
      <c r="E591" s="6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>
      <c r="A592" s="5"/>
      <c r="B592" s="4"/>
      <c r="C592" s="4"/>
      <c r="D592" s="4"/>
      <c r="E592" s="6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>
      <c r="A593" s="5"/>
      <c r="B593" s="4"/>
      <c r="C593" s="4"/>
      <c r="D593" s="4"/>
      <c r="E593" s="6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>
      <c r="A594" s="5"/>
      <c r="B594" s="4"/>
      <c r="C594" s="4"/>
      <c r="D594" s="4"/>
      <c r="E594" s="6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>
      <c r="A595" s="5"/>
      <c r="B595" s="4"/>
      <c r="C595" s="4"/>
      <c r="D595" s="4"/>
      <c r="E595" s="6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>
      <c r="A596" s="5"/>
      <c r="B596" s="4"/>
      <c r="C596" s="4"/>
      <c r="D596" s="4"/>
      <c r="E596" s="6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>
      <c r="A597" s="5"/>
      <c r="B597" s="4"/>
      <c r="C597" s="4"/>
      <c r="D597" s="4"/>
      <c r="E597" s="6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>
      <c r="A598" s="5"/>
      <c r="B598" s="4"/>
      <c r="C598" s="4"/>
      <c r="D598" s="4"/>
      <c r="E598" s="6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>
      <c r="A599" s="5"/>
      <c r="B599" s="4"/>
      <c r="C599" s="4"/>
      <c r="D599" s="4"/>
      <c r="E599" s="6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>
      <c r="A600" s="5"/>
      <c r="B600" s="4"/>
      <c r="C600" s="4"/>
      <c r="D600" s="4"/>
      <c r="E600" s="6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>
      <c r="A601" s="5"/>
      <c r="B601" s="4"/>
      <c r="C601" s="4"/>
      <c r="D601" s="4"/>
      <c r="E601" s="6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>
      <c r="A602" s="5"/>
      <c r="B602" s="4"/>
      <c r="C602" s="4"/>
      <c r="D602" s="4"/>
      <c r="E602" s="6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>
      <c r="A603" s="5"/>
      <c r="B603" s="4"/>
      <c r="C603" s="4"/>
      <c r="D603" s="4"/>
      <c r="E603" s="6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>
      <c r="A604" s="5"/>
      <c r="B604" s="4"/>
      <c r="C604" s="4"/>
      <c r="D604" s="4"/>
      <c r="E604" s="6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>
      <c r="A605" s="5"/>
      <c r="B605" s="4"/>
      <c r="C605" s="4"/>
      <c r="D605" s="4"/>
      <c r="E605" s="6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>
      <c r="A606" s="5"/>
      <c r="B606" s="4"/>
      <c r="C606" s="4"/>
      <c r="D606" s="4"/>
      <c r="E606" s="6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>
      <c r="A607" s="5"/>
      <c r="B607" s="4"/>
      <c r="C607" s="4"/>
      <c r="D607" s="4"/>
      <c r="E607" s="6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>
      <c r="A608" s="5"/>
      <c r="B608" s="4"/>
      <c r="C608" s="4"/>
      <c r="D608" s="4"/>
      <c r="E608" s="6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>
      <c r="A609" s="5"/>
      <c r="B609" s="4"/>
      <c r="C609" s="4"/>
      <c r="D609" s="4"/>
      <c r="E609" s="6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>
      <c r="A610" s="5"/>
      <c r="B610" s="4"/>
      <c r="C610" s="4"/>
      <c r="D610" s="4"/>
      <c r="E610" s="6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>
      <c r="A611" s="5"/>
      <c r="B611" s="4"/>
      <c r="C611" s="4"/>
      <c r="D611" s="4"/>
      <c r="E611" s="6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>
      <c r="A612" s="5"/>
      <c r="B612" s="4"/>
      <c r="C612" s="4"/>
      <c r="D612" s="4"/>
      <c r="E612" s="6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>
      <c r="A613" s="5"/>
      <c r="B613" s="4"/>
      <c r="C613" s="4"/>
      <c r="D613" s="4"/>
      <c r="E613" s="6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>
      <c r="A614" s="5"/>
      <c r="B614" s="4"/>
      <c r="C614" s="4"/>
      <c r="D614" s="4"/>
      <c r="E614" s="6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>
      <c r="A615" s="5"/>
      <c r="B615" s="4"/>
      <c r="C615" s="4"/>
      <c r="D615" s="4"/>
      <c r="E615" s="6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>
      <c r="A616" s="5"/>
      <c r="B616" s="4"/>
      <c r="C616" s="4"/>
      <c r="D616" s="4"/>
      <c r="E616" s="6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>
      <c r="A617" s="5"/>
      <c r="B617" s="4"/>
      <c r="C617" s="4"/>
      <c r="D617" s="4"/>
      <c r="E617" s="6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>
      <c r="A618" s="5"/>
      <c r="B618" s="4"/>
      <c r="C618" s="4"/>
      <c r="D618" s="4"/>
      <c r="E618" s="6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>
      <c r="A619" s="5"/>
      <c r="B619" s="4"/>
      <c r="C619" s="4"/>
      <c r="D619" s="4"/>
      <c r="E619" s="6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>
      <c r="A620" s="5"/>
      <c r="B620" s="4"/>
      <c r="C620" s="4"/>
      <c r="D620" s="4"/>
      <c r="E620" s="6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>
      <c r="A621" s="5"/>
      <c r="B621" s="4"/>
      <c r="C621" s="4"/>
      <c r="D621" s="4"/>
      <c r="E621" s="6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>
      <c r="A622" s="5"/>
      <c r="B622" s="4"/>
      <c r="C622" s="4"/>
      <c r="D622" s="4"/>
      <c r="E622" s="6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>
      <c r="A623" s="5"/>
      <c r="B623" s="4"/>
      <c r="C623" s="4"/>
      <c r="D623" s="4"/>
      <c r="E623" s="6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>
      <c r="A624" s="5"/>
      <c r="B624" s="4"/>
      <c r="C624" s="4"/>
      <c r="D624" s="4"/>
      <c r="E624" s="6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>
      <c r="A625" s="5"/>
      <c r="B625" s="4"/>
      <c r="C625" s="4"/>
      <c r="D625" s="4"/>
      <c r="E625" s="6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>
      <c r="A626" s="5"/>
      <c r="B626" s="4"/>
      <c r="C626" s="4"/>
      <c r="D626" s="4"/>
      <c r="E626" s="6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>
      <c r="A627" s="5"/>
      <c r="B627" s="4"/>
      <c r="C627" s="4"/>
      <c r="D627" s="4"/>
      <c r="E627" s="6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>
      <c r="A628" s="5"/>
      <c r="B628" s="4"/>
      <c r="C628" s="4"/>
      <c r="D628" s="4"/>
      <c r="E628" s="6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>
      <c r="A629" s="5"/>
      <c r="B629" s="4"/>
      <c r="C629" s="4"/>
      <c r="D629" s="4"/>
      <c r="E629" s="6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>
      <c r="A630" s="5"/>
      <c r="B630" s="4"/>
      <c r="C630" s="4"/>
      <c r="D630" s="4"/>
      <c r="E630" s="6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>
      <c r="A631" s="5"/>
      <c r="B631" s="4"/>
      <c r="C631" s="4"/>
      <c r="D631" s="4"/>
      <c r="E631" s="6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>
      <c r="A632" s="5"/>
      <c r="B632" s="4"/>
      <c r="C632" s="4"/>
      <c r="D632" s="4"/>
      <c r="E632" s="6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>
      <c r="A633" s="5"/>
      <c r="B633" s="4"/>
      <c r="C633" s="4"/>
      <c r="D633" s="4"/>
      <c r="E633" s="6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>
      <c r="A634" s="5"/>
      <c r="B634" s="4"/>
      <c r="C634" s="4"/>
      <c r="D634" s="4"/>
      <c r="E634" s="6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>
      <c r="A635" s="5"/>
      <c r="B635" s="4"/>
      <c r="C635" s="4"/>
      <c r="D635" s="4"/>
      <c r="E635" s="6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>
      <c r="A636" s="5"/>
      <c r="B636" s="4"/>
      <c r="C636" s="4"/>
      <c r="D636" s="4"/>
      <c r="E636" s="6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>
      <c r="A637" s="5"/>
      <c r="B637" s="4"/>
      <c r="C637" s="4"/>
      <c r="D637" s="4"/>
      <c r="E637" s="6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>
      <c r="A638" s="5"/>
      <c r="B638" s="4"/>
      <c r="C638" s="4"/>
      <c r="D638" s="4"/>
      <c r="E638" s="6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>
      <c r="A639" s="5"/>
      <c r="B639" s="4"/>
      <c r="C639" s="4"/>
      <c r="D639" s="4"/>
      <c r="E639" s="6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>
      <c r="A640" s="5"/>
      <c r="B640" s="4"/>
      <c r="C640" s="4"/>
      <c r="D640" s="4"/>
      <c r="E640" s="6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>
      <c r="A641" s="5"/>
      <c r="B641" s="4"/>
      <c r="C641" s="4"/>
      <c r="D641" s="4"/>
      <c r="E641" s="6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>
      <c r="A642" s="5"/>
      <c r="B642" s="4"/>
      <c r="C642" s="4"/>
      <c r="D642" s="4"/>
      <c r="E642" s="6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>
      <c r="A643" s="5"/>
      <c r="B643" s="4"/>
      <c r="C643" s="4"/>
      <c r="D643" s="4"/>
      <c r="E643" s="6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>
      <c r="A644" s="5"/>
      <c r="B644" s="4"/>
      <c r="C644" s="4"/>
      <c r="D644" s="4"/>
      <c r="E644" s="6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>
      <c r="A645" s="5"/>
      <c r="B645" s="4"/>
      <c r="C645" s="4"/>
      <c r="D645" s="4"/>
      <c r="E645" s="6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>
      <c r="A646" s="5"/>
      <c r="B646" s="4"/>
      <c r="C646" s="4"/>
      <c r="D646" s="4"/>
      <c r="E646" s="6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>
      <c r="A647" s="5"/>
      <c r="B647" s="4"/>
      <c r="C647" s="4"/>
      <c r="D647" s="4"/>
      <c r="E647" s="6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>
      <c r="A648" s="5"/>
      <c r="B648" s="4"/>
      <c r="C648" s="4"/>
      <c r="D648" s="4"/>
      <c r="E648" s="6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>
      <c r="A649" s="5"/>
      <c r="B649" s="4"/>
      <c r="C649" s="4"/>
      <c r="D649" s="4"/>
      <c r="E649" s="6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>
      <c r="A650" s="5"/>
      <c r="B650" s="4"/>
      <c r="C650" s="4"/>
      <c r="D650" s="4"/>
      <c r="E650" s="6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>
      <c r="A651" s="5"/>
      <c r="B651" s="4"/>
      <c r="C651" s="4"/>
      <c r="D651" s="4"/>
      <c r="E651" s="6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>
      <c r="A652" s="5"/>
      <c r="B652" s="4"/>
      <c r="C652" s="4"/>
      <c r="D652" s="4"/>
      <c r="E652" s="6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>
      <c r="A653" s="5"/>
      <c r="B653" s="4"/>
      <c r="C653" s="4"/>
      <c r="D653" s="4"/>
      <c r="E653" s="6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>
      <c r="A654" s="5"/>
      <c r="B654" s="4"/>
      <c r="C654" s="4"/>
      <c r="D654" s="4"/>
      <c r="E654" s="6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>
      <c r="A655" s="5"/>
      <c r="B655" s="4"/>
      <c r="C655" s="4"/>
      <c r="D655" s="4"/>
      <c r="E655" s="6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>
      <c r="A656" s="5"/>
      <c r="B656" s="4"/>
      <c r="C656" s="4"/>
      <c r="D656" s="4"/>
      <c r="E656" s="6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>
      <c r="A657" s="5"/>
      <c r="B657" s="4"/>
      <c r="C657" s="4"/>
      <c r="D657" s="4"/>
      <c r="E657" s="6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>
      <c r="A658" s="5"/>
      <c r="B658" s="4"/>
      <c r="C658" s="4"/>
      <c r="D658" s="4"/>
      <c r="E658" s="6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>
      <c r="A659" s="5"/>
      <c r="B659" s="4"/>
      <c r="C659" s="4"/>
      <c r="D659" s="4"/>
      <c r="E659" s="6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>
      <c r="A660" s="5"/>
      <c r="B660" s="4"/>
      <c r="C660" s="4"/>
      <c r="D660" s="4"/>
      <c r="E660" s="6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>
      <c r="A661" s="5"/>
      <c r="B661" s="4"/>
      <c r="C661" s="4"/>
      <c r="D661" s="4"/>
      <c r="E661" s="6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>
      <c r="A662" s="5"/>
      <c r="B662" s="4"/>
      <c r="C662" s="4"/>
      <c r="D662" s="4"/>
      <c r="E662" s="6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>
      <c r="A663" s="5"/>
      <c r="B663" s="4"/>
      <c r="C663" s="4"/>
      <c r="D663" s="4"/>
      <c r="E663" s="6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>
      <c r="A664" s="5"/>
      <c r="B664" s="4"/>
      <c r="C664" s="4"/>
      <c r="D664" s="4"/>
      <c r="E664" s="6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>
      <c r="A665" s="5"/>
      <c r="B665" s="4"/>
      <c r="C665" s="4"/>
      <c r="D665" s="4"/>
      <c r="E665" s="6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>
      <c r="A666" s="5"/>
      <c r="B666" s="4"/>
      <c r="C666" s="4"/>
      <c r="D666" s="4"/>
      <c r="E666" s="6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>
      <c r="A667" s="5"/>
      <c r="B667" s="4"/>
      <c r="C667" s="4"/>
      <c r="D667" s="4"/>
      <c r="E667" s="6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>
      <c r="A668" s="5"/>
      <c r="B668" s="4"/>
      <c r="C668" s="4"/>
      <c r="D668" s="4"/>
      <c r="E668" s="6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>
      <c r="A669" s="5"/>
      <c r="B669" s="4"/>
      <c r="C669" s="4"/>
      <c r="D669" s="4"/>
      <c r="E669" s="6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>
      <c r="A670" s="5"/>
      <c r="B670" s="4"/>
      <c r="C670" s="4"/>
      <c r="D670" s="4"/>
      <c r="E670" s="6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>
      <c r="A671" s="5"/>
      <c r="B671" s="4"/>
      <c r="C671" s="4"/>
      <c r="D671" s="4"/>
      <c r="E671" s="6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>
      <c r="A672" s="5"/>
      <c r="B672" s="4"/>
      <c r="C672" s="4"/>
      <c r="D672" s="4"/>
      <c r="E672" s="6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>
      <c r="A673" s="5"/>
      <c r="B673" s="4"/>
      <c r="C673" s="4"/>
      <c r="D673" s="4"/>
      <c r="E673" s="6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>
      <c r="A674" s="5"/>
      <c r="B674" s="4"/>
      <c r="C674" s="4"/>
      <c r="D674" s="4"/>
      <c r="E674" s="6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>
      <c r="A675" s="5"/>
      <c r="B675" s="4"/>
      <c r="C675" s="4"/>
      <c r="D675" s="4"/>
      <c r="E675" s="6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>
      <c r="A676" s="5"/>
      <c r="B676" s="4"/>
      <c r="C676" s="4"/>
      <c r="D676" s="4"/>
      <c r="E676" s="6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>
      <c r="A677" s="5"/>
      <c r="B677" s="4"/>
      <c r="C677" s="4"/>
      <c r="D677" s="4"/>
      <c r="E677" s="6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>
      <c r="A678" s="5"/>
      <c r="B678" s="4"/>
      <c r="C678" s="4"/>
      <c r="D678" s="4"/>
      <c r="E678" s="6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>
      <c r="A679" s="5"/>
      <c r="B679" s="4"/>
      <c r="C679" s="4"/>
      <c r="D679" s="4"/>
      <c r="E679" s="6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>
      <c r="A680" s="5"/>
      <c r="B680" s="4"/>
      <c r="C680" s="4"/>
      <c r="D680" s="4"/>
      <c r="E680" s="6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>
      <c r="A681" s="5"/>
      <c r="B681" s="4"/>
      <c r="C681" s="4"/>
      <c r="D681" s="4"/>
      <c r="E681" s="6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>
      <c r="A682" s="5"/>
      <c r="B682" s="4"/>
      <c r="C682" s="4"/>
      <c r="D682" s="4"/>
      <c r="E682" s="6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>
      <c r="A683" s="5"/>
      <c r="B683" s="4"/>
      <c r="C683" s="4"/>
      <c r="D683" s="4"/>
      <c r="E683" s="6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>
      <c r="A684" s="5"/>
      <c r="B684" s="4"/>
      <c r="C684" s="4"/>
      <c r="D684" s="4"/>
      <c r="E684" s="6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>
      <c r="A685" s="5"/>
      <c r="B685" s="4"/>
      <c r="C685" s="4"/>
      <c r="D685" s="4"/>
      <c r="E685" s="6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>
      <c r="A686" s="5"/>
      <c r="B686" s="4"/>
      <c r="C686" s="4"/>
      <c r="D686" s="4"/>
      <c r="E686" s="6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>
      <c r="A687" s="5"/>
      <c r="B687" s="4"/>
      <c r="C687" s="4"/>
      <c r="D687" s="4"/>
      <c r="E687" s="6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>
      <c r="A688" s="5"/>
      <c r="B688" s="4"/>
      <c r="C688" s="4"/>
      <c r="D688" s="4"/>
      <c r="E688" s="6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>
      <c r="A689" s="5"/>
      <c r="B689" s="4"/>
      <c r="C689" s="4"/>
      <c r="D689" s="4"/>
      <c r="E689" s="6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>
      <c r="A690" s="5"/>
      <c r="B690" s="4"/>
      <c r="C690" s="4"/>
      <c r="D690" s="4"/>
      <c r="E690" s="6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>
      <c r="A691" s="5"/>
      <c r="B691" s="4"/>
      <c r="C691" s="4"/>
      <c r="D691" s="4"/>
      <c r="E691" s="6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>
      <c r="A692" s="5"/>
      <c r="B692" s="4"/>
      <c r="C692" s="4"/>
      <c r="D692" s="4"/>
      <c r="E692" s="6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>
      <c r="A693" s="5"/>
      <c r="B693" s="4"/>
      <c r="C693" s="4"/>
      <c r="D693" s="4"/>
      <c r="E693" s="6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>
      <c r="A694" s="5"/>
      <c r="B694" s="4"/>
      <c r="C694" s="4"/>
      <c r="D694" s="4"/>
      <c r="E694" s="6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>
      <c r="A695" s="5"/>
      <c r="B695" s="4"/>
      <c r="C695" s="4"/>
      <c r="D695" s="4"/>
      <c r="E695" s="6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>
      <c r="A696" s="5"/>
      <c r="B696" s="4"/>
      <c r="C696" s="4"/>
      <c r="D696" s="4"/>
      <c r="E696" s="6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>
      <c r="A697" s="5"/>
      <c r="B697" s="4"/>
      <c r="C697" s="4"/>
      <c r="D697" s="4"/>
      <c r="E697" s="6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>
      <c r="A698" s="5"/>
      <c r="B698" s="4"/>
      <c r="C698" s="4"/>
      <c r="D698" s="4"/>
      <c r="E698" s="6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>
      <c r="A699" s="5"/>
      <c r="B699" s="4"/>
      <c r="C699" s="4"/>
      <c r="D699" s="4"/>
      <c r="E699" s="6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>
      <c r="A700" s="5"/>
      <c r="B700" s="4"/>
      <c r="C700" s="4"/>
      <c r="D700" s="4"/>
      <c r="E700" s="6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>
      <c r="A701" s="5"/>
      <c r="B701" s="4"/>
      <c r="C701" s="4"/>
      <c r="D701" s="4"/>
      <c r="E701" s="6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>
      <c r="A702" s="5"/>
      <c r="B702" s="4"/>
      <c r="C702" s="4"/>
      <c r="D702" s="4"/>
      <c r="E702" s="6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>
      <c r="A703" s="5"/>
      <c r="B703" s="4"/>
      <c r="C703" s="4"/>
      <c r="D703" s="4"/>
      <c r="E703" s="6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>
      <c r="A704" s="5"/>
      <c r="B704" s="4"/>
      <c r="C704" s="4"/>
      <c r="D704" s="4"/>
      <c r="E704" s="6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>
      <c r="A705" s="5"/>
      <c r="B705" s="4"/>
      <c r="C705" s="4"/>
      <c r="D705" s="4"/>
      <c r="E705" s="6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>
      <c r="A706" s="5"/>
      <c r="B706" s="4"/>
      <c r="C706" s="4"/>
      <c r="D706" s="4"/>
      <c r="E706" s="6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>
      <c r="A707" s="5"/>
      <c r="B707" s="4"/>
      <c r="C707" s="4"/>
      <c r="D707" s="4"/>
      <c r="E707" s="6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>
      <c r="A708" s="5"/>
      <c r="B708" s="4"/>
      <c r="C708" s="4"/>
      <c r="D708" s="4"/>
      <c r="E708" s="6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>
      <c r="A709" s="5"/>
      <c r="B709" s="4"/>
      <c r="C709" s="4"/>
      <c r="D709" s="4"/>
      <c r="E709" s="6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>
      <c r="A710" s="5"/>
      <c r="B710" s="4"/>
      <c r="C710" s="4"/>
      <c r="D710" s="4"/>
      <c r="E710" s="6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>
      <c r="A711" s="5"/>
      <c r="B711" s="4"/>
      <c r="C711" s="4"/>
      <c r="D711" s="4"/>
      <c r="E711" s="6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>
      <c r="A712" s="5"/>
      <c r="B712" s="4"/>
      <c r="C712" s="4"/>
      <c r="D712" s="4"/>
      <c r="E712" s="6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>
      <c r="A713" s="5"/>
      <c r="B713" s="4"/>
      <c r="C713" s="4"/>
      <c r="D713" s="4"/>
      <c r="E713" s="6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>
      <c r="A714" s="5"/>
      <c r="B714" s="4"/>
      <c r="C714" s="4"/>
      <c r="D714" s="4"/>
      <c r="E714" s="6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>
      <c r="A715" s="5"/>
      <c r="B715" s="4"/>
      <c r="C715" s="4"/>
      <c r="D715" s="4"/>
      <c r="E715" s="6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>
      <c r="A716" s="5"/>
      <c r="B716" s="4"/>
      <c r="C716" s="4"/>
      <c r="D716" s="4"/>
      <c r="E716" s="6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>
      <c r="A717" s="5"/>
      <c r="B717" s="4"/>
      <c r="C717" s="4"/>
      <c r="D717" s="4"/>
      <c r="E717" s="6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>
      <c r="A718" s="5"/>
      <c r="B718" s="4"/>
      <c r="C718" s="4"/>
      <c r="D718" s="4"/>
      <c r="E718" s="6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>
      <c r="A719" s="5"/>
      <c r="B719" s="4"/>
      <c r="C719" s="4"/>
      <c r="D719" s="4"/>
      <c r="E719" s="6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>
      <c r="A720" s="5"/>
      <c r="B720" s="4"/>
      <c r="C720" s="4"/>
      <c r="D720" s="4"/>
      <c r="E720" s="6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>
      <c r="A721" s="5"/>
      <c r="B721" s="4"/>
      <c r="C721" s="4"/>
      <c r="D721" s="4"/>
      <c r="E721" s="6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>
      <c r="A722" s="5"/>
      <c r="B722" s="4"/>
      <c r="C722" s="4"/>
      <c r="D722" s="4"/>
      <c r="E722" s="6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>
      <c r="A723" s="5"/>
      <c r="B723" s="4"/>
      <c r="C723" s="4"/>
      <c r="D723" s="4"/>
      <c r="E723" s="6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>
      <c r="A724" s="5"/>
      <c r="B724" s="4"/>
      <c r="C724" s="4"/>
      <c r="D724" s="4"/>
      <c r="E724" s="6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>
      <c r="A725" s="5"/>
      <c r="B725" s="4"/>
      <c r="C725" s="4"/>
      <c r="D725" s="4"/>
      <c r="E725" s="6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>
      <c r="A726" s="5"/>
      <c r="B726" s="4"/>
      <c r="C726" s="4"/>
      <c r="D726" s="4"/>
      <c r="E726" s="6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>
      <c r="A727" s="5"/>
      <c r="B727" s="4"/>
      <c r="C727" s="4"/>
      <c r="D727" s="4"/>
      <c r="E727" s="6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>
      <c r="A728" s="5"/>
      <c r="B728" s="4"/>
      <c r="C728" s="4"/>
      <c r="D728" s="4"/>
      <c r="E728" s="6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>
      <c r="A729" s="5"/>
      <c r="B729" s="4"/>
      <c r="C729" s="4"/>
      <c r="D729" s="4"/>
      <c r="E729" s="6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>
      <c r="A730" s="5"/>
      <c r="B730" s="4"/>
      <c r="C730" s="4"/>
      <c r="D730" s="4"/>
      <c r="E730" s="6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>
      <c r="A731" s="5"/>
      <c r="B731" s="4"/>
      <c r="C731" s="4"/>
      <c r="D731" s="4"/>
      <c r="E731" s="6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>
      <c r="A732" s="5"/>
      <c r="B732" s="4"/>
      <c r="C732" s="4"/>
      <c r="D732" s="4"/>
      <c r="E732" s="6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>
      <c r="A733" s="5"/>
      <c r="B733" s="4"/>
      <c r="C733" s="4"/>
      <c r="D733" s="4"/>
      <c r="E733" s="6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>
      <c r="A734" s="5"/>
      <c r="B734" s="4"/>
      <c r="C734" s="4"/>
      <c r="D734" s="4"/>
      <c r="E734" s="6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>
      <c r="A735" s="5"/>
      <c r="B735" s="4"/>
      <c r="C735" s="4"/>
      <c r="D735" s="4"/>
      <c r="E735" s="6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>
      <c r="A736" s="5"/>
      <c r="B736" s="4"/>
      <c r="C736" s="4"/>
      <c r="D736" s="4"/>
      <c r="E736" s="6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>
      <c r="A737" s="5"/>
      <c r="B737" s="4"/>
      <c r="C737" s="4"/>
      <c r="D737" s="4"/>
      <c r="E737" s="6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>
      <c r="A738" s="5"/>
      <c r="B738" s="4"/>
      <c r="C738" s="4"/>
      <c r="D738" s="4"/>
      <c r="E738" s="6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>
      <c r="A739" s="5"/>
      <c r="B739" s="4"/>
      <c r="C739" s="4"/>
      <c r="D739" s="4"/>
      <c r="E739" s="6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>
      <c r="A740" s="5"/>
      <c r="B740" s="4"/>
      <c r="C740" s="4"/>
      <c r="D740" s="4"/>
      <c r="E740" s="6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>
      <c r="A741" s="5"/>
      <c r="B741" s="4"/>
      <c r="C741" s="4"/>
      <c r="D741" s="4"/>
      <c r="E741" s="6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>
      <c r="A742" s="5"/>
      <c r="B742" s="4"/>
      <c r="C742" s="4"/>
      <c r="D742" s="4"/>
      <c r="E742" s="6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>
      <c r="A743" s="5"/>
      <c r="B743" s="4"/>
      <c r="C743" s="4"/>
      <c r="D743" s="4"/>
      <c r="E743" s="6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>
      <c r="A744" s="5"/>
      <c r="B744" s="4"/>
      <c r="C744" s="4"/>
      <c r="D744" s="4"/>
      <c r="E744" s="6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>
      <c r="A745" s="5"/>
      <c r="B745" s="4"/>
      <c r="C745" s="4"/>
      <c r="D745" s="4"/>
      <c r="E745" s="6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>
      <c r="A746" s="5"/>
      <c r="B746" s="4"/>
      <c r="C746" s="4"/>
      <c r="D746" s="4"/>
      <c r="E746" s="6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>
      <c r="A747" s="5"/>
      <c r="B747" s="4"/>
      <c r="C747" s="4"/>
      <c r="D747" s="4"/>
      <c r="E747" s="6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>
      <c r="A748" s="5"/>
      <c r="B748" s="4"/>
      <c r="C748" s="4"/>
      <c r="D748" s="4"/>
      <c r="E748" s="6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>
      <c r="A749" s="5"/>
      <c r="B749" s="4"/>
      <c r="C749" s="4"/>
      <c r="D749" s="4"/>
      <c r="E749" s="6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>
      <c r="A750" s="5"/>
      <c r="B750" s="4"/>
      <c r="C750" s="4"/>
      <c r="D750" s="4"/>
      <c r="E750" s="6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>
      <c r="A751" s="5"/>
      <c r="B751" s="4"/>
      <c r="C751" s="4"/>
      <c r="D751" s="4"/>
      <c r="E751" s="6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>
      <c r="A752" s="5"/>
      <c r="B752" s="4"/>
      <c r="C752" s="4"/>
      <c r="D752" s="4"/>
      <c r="E752" s="6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>
      <c r="A753" s="5"/>
      <c r="B753" s="4"/>
      <c r="C753" s="4"/>
      <c r="D753" s="4"/>
      <c r="E753" s="6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>
      <c r="A754" s="5"/>
      <c r="B754" s="4"/>
      <c r="C754" s="4"/>
      <c r="D754" s="4"/>
      <c r="E754" s="6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>
      <c r="A755" s="5"/>
      <c r="B755" s="4"/>
      <c r="C755" s="4"/>
      <c r="D755" s="4"/>
      <c r="E755" s="6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>
      <c r="A756" s="5"/>
      <c r="B756" s="4"/>
      <c r="C756" s="4"/>
      <c r="D756" s="4"/>
      <c r="E756" s="6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>
      <c r="A757" s="5"/>
      <c r="B757" s="4"/>
      <c r="C757" s="4"/>
      <c r="D757" s="4"/>
      <c r="E757" s="6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>
      <c r="A758" s="5"/>
      <c r="B758" s="4"/>
      <c r="C758" s="4"/>
      <c r="D758" s="4"/>
      <c r="E758" s="6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>
      <c r="A759" s="5"/>
      <c r="B759" s="4"/>
      <c r="C759" s="4"/>
      <c r="D759" s="4"/>
      <c r="E759" s="6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>
      <c r="A760" s="5"/>
      <c r="B760" s="4"/>
      <c r="C760" s="4"/>
      <c r="D760" s="4"/>
      <c r="E760" s="6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>
      <c r="A761" s="5"/>
      <c r="B761" s="4"/>
      <c r="C761" s="4"/>
      <c r="D761" s="4"/>
      <c r="E761" s="6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>
      <c r="A762" s="5"/>
      <c r="B762" s="4"/>
      <c r="C762" s="4"/>
      <c r="D762" s="4"/>
      <c r="E762" s="6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>
      <c r="A763" s="5"/>
      <c r="B763" s="4"/>
      <c r="C763" s="4"/>
      <c r="D763" s="4"/>
      <c r="E763" s="6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>
      <c r="A764" s="5"/>
      <c r="B764" s="4"/>
      <c r="C764" s="4"/>
      <c r="D764" s="4"/>
      <c r="E764" s="6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>
      <c r="A765" s="5"/>
      <c r="B765" s="4"/>
      <c r="C765" s="4"/>
      <c r="D765" s="4"/>
      <c r="E765" s="6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>
      <c r="A766" s="5"/>
      <c r="B766" s="4"/>
      <c r="C766" s="4"/>
      <c r="D766" s="4"/>
      <c r="E766" s="6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>
      <c r="A767" s="5"/>
      <c r="B767" s="4"/>
      <c r="C767" s="4"/>
      <c r="D767" s="4"/>
      <c r="E767" s="6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>
      <c r="A768" s="5"/>
      <c r="B768" s="4"/>
      <c r="C768" s="4"/>
      <c r="D768" s="4"/>
      <c r="E768" s="6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>
      <c r="A769" s="5"/>
      <c r="B769" s="4"/>
      <c r="C769" s="4"/>
      <c r="D769" s="4"/>
      <c r="E769" s="6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>
      <c r="A770" s="5"/>
      <c r="B770" s="4"/>
      <c r="C770" s="4"/>
      <c r="D770" s="4"/>
      <c r="E770" s="6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>
      <c r="A771" s="5"/>
      <c r="B771" s="4"/>
      <c r="C771" s="4"/>
      <c r="D771" s="4"/>
      <c r="E771" s="6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>
      <c r="A772" s="5"/>
      <c r="B772" s="4"/>
      <c r="C772" s="4"/>
      <c r="D772" s="4"/>
      <c r="E772" s="6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>
      <c r="A773" s="5"/>
      <c r="B773" s="4"/>
      <c r="C773" s="4"/>
      <c r="D773" s="4"/>
      <c r="E773" s="6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>
      <c r="A774" s="5"/>
      <c r="B774" s="4"/>
      <c r="C774" s="4"/>
      <c r="D774" s="4"/>
      <c r="E774" s="6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>
      <c r="A775" s="5"/>
      <c r="B775" s="4"/>
      <c r="C775" s="4"/>
      <c r="D775" s="4"/>
      <c r="E775" s="6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>
      <c r="A776" s="5"/>
      <c r="B776" s="4"/>
      <c r="C776" s="4"/>
      <c r="D776" s="4"/>
      <c r="E776" s="6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>
      <c r="A777" s="5"/>
      <c r="B777" s="4"/>
      <c r="C777" s="4"/>
      <c r="D777" s="4"/>
      <c r="E777" s="6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>
      <c r="A778" s="5"/>
      <c r="B778" s="4"/>
      <c r="C778" s="4"/>
      <c r="D778" s="4"/>
      <c r="E778" s="6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>
      <c r="A779" s="5"/>
      <c r="B779" s="4"/>
      <c r="C779" s="4"/>
      <c r="D779" s="4"/>
      <c r="E779" s="6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>
      <c r="A780" s="5"/>
      <c r="B780" s="4"/>
      <c r="C780" s="4"/>
      <c r="D780" s="4"/>
      <c r="E780" s="6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>
      <c r="A781" s="5"/>
      <c r="B781" s="4"/>
      <c r="C781" s="4"/>
      <c r="D781" s="4"/>
      <c r="E781" s="6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>
      <c r="A782" s="5"/>
      <c r="B782" s="4"/>
      <c r="C782" s="4"/>
      <c r="D782" s="4"/>
      <c r="E782" s="6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>
      <c r="A783" s="5"/>
      <c r="B783" s="4"/>
      <c r="C783" s="4"/>
      <c r="D783" s="4"/>
      <c r="E783" s="6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>
      <c r="A784" s="5"/>
      <c r="B784" s="4"/>
      <c r="C784" s="4"/>
      <c r="D784" s="4"/>
      <c r="E784" s="6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>
      <c r="A785" s="5"/>
      <c r="B785" s="4"/>
      <c r="C785" s="4"/>
      <c r="D785" s="4"/>
      <c r="E785" s="6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>
      <c r="A786" s="5"/>
      <c r="B786" s="4"/>
      <c r="C786" s="4"/>
      <c r="D786" s="4"/>
      <c r="E786" s="6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>
      <c r="A787" s="5"/>
      <c r="B787" s="4"/>
      <c r="C787" s="4"/>
      <c r="D787" s="4"/>
      <c r="E787" s="6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>
      <c r="A788" s="5"/>
      <c r="B788" s="4"/>
      <c r="C788" s="4"/>
      <c r="D788" s="4"/>
      <c r="E788" s="6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>
      <c r="A789" s="5"/>
      <c r="B789" s="4"/>
      <c r="C789" s="4"/>
      <c r="D789" s="4"/>
      <c r="E789" s="6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>
      <c r="A790" s="5"/>
      <c r="B790" s="4"/>
      <c r="C790" s="4"/>
      <c r="D790" s="4"/>
      <c r="E790" s="6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>
      <c r="A791" s="5"/>
      <c r="B791" s="4"/>
      <c r="C791" s="4"/>
      <c r="D791" s="4"/>
      <c r="E791" s="6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>
      <c r="A792" s="5"/>
      <c r="B792" s="4"/>
      <c r="C792" s="4"/>
      <c r="D792" s="4"/>
      <c r="E792" s="6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>
      <c r="A793" s="5"/>
      <c r="B793" s="4"/>
      <c r="C793" s="4"/>
      <c r="D793" s="4"/>
      <c r="E793" s="6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>
      <c r="A794" s="5"/>
      <c r="B794" s="4"/>
      <c r="C794" s="4"/>
      <c r="D794" s="4"/>
      <c r="E794" s="6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>
      <c r="A795" s="5"/>
      <c r="B795" s="4"/>
      <c r="C795" s="4"/>
      <c r="D795" s="4"/>
      <c r="E795" s="6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>
      <c r="A796" s="5"/>
      <c r="B796" s="4"/>
      <c r="C796" s="4"/>
      <c r="D796" s="4"/>
      <c r="E796" s="6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>
      <c r="A797" s="5"/>
      <c r="B797" s="4"/>
      <c r="C797" s="4"/>
      <c r="D797" s="4"/>
      <c r="E797" s="6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>
      <c r="A798" s="5"/>
      <c r="B798" s="4"/>
      <c r="C798" s="4"/>
      <c r="D798" s="4"/>
      <c r="E798" s="6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>
      <c r="A799" s="5"/>
      <c r="B799" s="4"/>
      <c r="C799" s="4"/>
      <c r="D799" s="4"/>
      <c r="E799" s="6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>
      <c r="A800" s="5"/>
      <c r="B800" s="4"/>
      <c r="C800" s="4"/>
      <c r="D800" s="4"/>
      <c r="E800" s="6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>
      <c r="A801" s="5"/>
      <c r="B801" s="4"/>
      <c r="C801" s="4"/>
      <c r="D801" s="4"/>
      <c r="E801" s="6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>
      <c r="A802" s="5"/>
      <c r="B802" s="4"/>
      <c r="C802" s="4"/>
      <c r="D802" s="4"/>
      <c r="E802" s="6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>
      <c r="A803" s="5"/>
      <c r="B803" s="4"/>
      <c r="C803" s="4"/>
      <c r="D803" s="4"/>
      <c r="E803" s="6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>
      <c r="A804" s="5"/>
      <c r="B804" s="4"/>
      <c r="C804" s="4"/>
      <c r="D804" s="4"/>
      <c r="E804" s="6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>
      <c r="A805" s="5"/>
      <c r="B805" s="4"/>
      <c r="C805" s="4"/>
      <c r="D805" s="4"/>
      <c r="E805" s="6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>
      <c r="A806" s="5"/>
      <c r="B806" s="4"/>
      <c r="C806" s="4"/>
      <c r="D806" s="4"/>
      <c r="E806" s="6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>
      <c r="A807" s="5"/>
      <c r="B807" s="4"/>
      <c r="C807" s="4"/>
      <c r="D807" s="4"/>
      <c r="E807" s="6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>
      <c r="A808" s="5"/>
      <c r="B808" s="4"/>
      <c r="C808" s="4"/>
      <c r="D808" s="4"/>
      <c r="E808" s="6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>
      <c r="A809" s="5"/>
      <c r="B809" s="4"/>
      <c r="C809" s="4"/>
      <c r="D809" s="4"/>
      <c r="E809" s="6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>
      <c r="A810" s="5"/>
      <c r="B810" s="4"/>
      <c r="C810" s="4"/>
      <c r="D810" s="4"/>
      <c r="E810" s="6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>
      <c r="A811" s="5"/>
      <c r="B811" s="4"/>
      <c r="C811" s="4"/>
      <c r="D811" s="4"/>
      <c r="E811" s="6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>
      <c r="A812" s="5"/>
      <c r="B812" s="4"/>
      <c r="C812" s="4"/>
      <c r="D812" s="4"/>
      <c r="E812" s="6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>
      <c r="A813" s="5"/>
      <c r="B813" s="4"/>
      <c r="C813" s="4"/>
      <c r="D813" s="4"/>
      <c r="E813" s="6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>
      <c r="A814" s="5"/>
      <c r="B814" s="4"/>
      <c r="C814" s="4"/>
      <c r="D814" s="4"/>
      <c r="E814" s="6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>
      <c r="A815" s="5"/>
      <c r="B815" s="4"/>
      <c r="C815" s="4"/>
      <c r="D815" s="4"/>
      <c r="E815" s="6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>
      <c r="A816" s="5"/>
      <c r="B816" s="4"/>
      <c r="C816" s="4"/>
      <c r="D816" s="4"/>
      <c r="E816" s="6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>
      <c r="A817" s="5"/>
      <c r="B817" s="4"/>
      <c r="C817" s="4"/>
      <c r="D817" s="4"/>
      <c r="E817" s="6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>
      <c r="A818" s="5"/>
      <c r="B818" s="4"/>
      <c r="C818" s="4"/>
      <c r="D818" s="4"/>
      <c r="E818" s="6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>
      <c r="A819" s="5"/>
      <c r="B819" s="4"/>
      <c r="C819" s="4"/>
      <c r="D819" s="4"/>
      <c r="E819" s="6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>
      <c r="A820" s="5"/>
      <c r="B820" s="4"/>
      <c r="C820" s="4"/>
      <c r="D820" s="4"/>
      <c r="E820" s="6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>
      <c r="A821" s="5"/>
      <c r="B821" s="4"/>
      <c r="C821" s="4"/>
      <c r="D821" s="4"/>
      <c r="E821" s="6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>
      <c r="A822" s="5"/>
      <c r="B822" s="4"/>
      <c r="C822" s="4"/>
      <c r="D822" s="4"/>
      <c r="E822" s="6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>
      <c r="A823" s="5"/>
      <c r="B823" s="4"/>
      <c r="C823" s="4"/>
      <c r="D823" s="4"/>
      <c r="E823" s="6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>
      <c r="A824" s="5"/>
      <c r="B824" s="4"/>
      <c r="C824" s="4"/>
      <c r="D824" s="4"/>
      <c r="E824" s="6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>
      <c r="A825" s="5"/>
      <c r="B825" s="4"/>
      <c r="C825" s="4"/>
      <c r="D825" s="4"/>
      <c r="E825" s="6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>
      <c r="A826" s="5"/>
      <c r="B826" s="4"/>
      <c r="C826" s="4"/>
      <c r="D826" s="4"/>
      <c r="E826" s="6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>
      <c r="A827" s="5"/>
      <c r="B827" s="4"/>
      <c r="C827" s="4"/>
      <c r="D827" s="4"/>
      <c r="E827" s="6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>
      <c r="A828" s="5"/>
      <c r="B828" s="4"/>
      <c r="C828" s="4"/>
      <c r="D828" s="4"/>
      <c r="E828" s="6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>
      <c r="A829" s="5"/>
      <c r="B829" s="4"/>
      <c r="C829" s="4"/>
      <c r="D829" s="4"/>
      <c r="E829" s="6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>
      <c r="A830" s="5"/>
      <c r="B830" s="4"/>
      <c r="C830" s="4"/>
      <c r="D830" s="4"/>
      <c r="E830" s="6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>
      <c r="A831" s="5"/>
      <c r="B831" s="4"/>
      <c r="C831" s="4"/>
      <c r="D831" s="4"/>
      <c r="E831" s="6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>
      <c r="A832" s="5"/>
      <c r="B832" s="4"/>
      <c r="C832" s="4"/>
      <c r="D832" s="4"/>
      <c r="E832" s="6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>
      <c r="A833" s="5"/>
      <c r="B833" s="4"/>
      <c r="C833" s="4"/>
      <c r="D833" s="4"/>
      <c r="E833" s="6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>
      <c r="A834" s="5"/>
      <c r="B834" s="4"/>
      <c r="C834" s="4"/>
      <c r="D834" s="4"/>
      <c r="E834" s="6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>
      <c r="A835" s="5"/>
      <c r="B835" s="4"/>
      <c r="C835" s="4"/>
      <c r="D835" s="4"/>
      <c r="E835" s="6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>
      <c r="A836" s="5"/>
      <c r="B836" s="4"/>
      <c r="C836" s="4"/>
      <c r="D836" s="4"/>
      <c r="E836" s="6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>
      <c r="A837" s="5"/>
      <c r="B837" s="4"/>
      <c r="C837" s="4"/>
      <c r="D837" s="4"/>
      <c r="E837" s="6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>
      <c r="A838" s="5"/>
      <c r="B838" s="4"/>
      <c r="C838" s="4"/>
      <c r="D838" s="4"/>
      <c r="E838" s="6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>
      <c r="A839" s="5"/>
      <c r="B839" s="4"/>
      <c r="C839" s="4"/>
      <c r="D839" s="4"/>
      <c r="E839" s="6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>
      <c r="A840" s="5"/>
      <c r="B840" s="4"/>
      <c r="C840" s="4"/>
      <c r="D840" s="4"/>
      <c r="E840" s="6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>
      <c r="A841" s="5"/>
      <c r="B841" s="4"/>
      <c r="C841" s="4"/>
      <c r="D841" s="4"/>
      <c r="E841" s="6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>
      <c r="A842" s="5"/>
      <c r="B842" s="4"/>
      <c r="C842" s="4"/>
      <c r="D842" s="4"/>
      <c r="E842" s="6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>
      <c r="A843" s="5"/>
      <c r="B843" s="4"/>
      <c r="C843" s="4"/>
      <c r="D843" s="4"/>
      <c r="E843" s="6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>
      <c r="A844" s="5"/>
      <c r="B844" s="4"/>
      <c r="C844" s="4"/>
      <c r="D844" s="4"/>
      <c r="E844" s="6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>
      <c r="A845" s="5"/>
      <c r="B845" s="4"/>
      <c r="C845" s="4"/>
      <c r="D845" s="4"/>
      <c r="E845" s="6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>
      <c r="A846" s="5"/>
      <c r="B846" s="4"/>
      <c r="C846" s="4"/>
      <c r="D846" s="4"/>
      <c r="E846" s="6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>
      <c r="A847" s="5"/>
      <c r="B847" s="4"/>
      <c r="C847" s="4"/>
      <c r="D847" s="4"/>
      <c r="E847" s="6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>
      <c r="A848" s="5"/>
      <c r="B848" s="4"/>
      <c r="C848" s="4"/>
      <c r="D848" s="4"/>
      <c r="E848" s="6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>
      <c r="A849" s="5"/>
      <c r="B849" s="4"/>
      <c r="C849" s="4"/>
      <c r="D849" s="4"/>
      <c r="E849" s="6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>
      <c r="A850" s="5"/>
      <c r="B850" s="4"/>
      <c r="C850" s="4"/>
      <c r="D850" s="4"/>
      <c r="E850" s="6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>
      <c r="A851" s="5"/>
      <c r="B851" s="4"/>
      <c r="C851" s="4"/>
      <c r="D851" s="4"/>
      <c r="E851" s="6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>
      <c r="A852" s="5"/>
      <c r="B852" s="4"/>
      <c r="C852" s="4"/>
      <c r="D852" s="4"/>
      <c r="E852" s="6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>
      <c r="A853" s="5"/>
      <c r="B853" s="4"/>
      <c r="C853" s="4"/>
      <c r="D853" s="4"/>
      <c r="E853" s="6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>
      <c r="A854" s="5"/>
      <c r="B854" s="4"/>
      <c r="C854" s="4"/>
      <c r="D854" s="4"/>
      <c r="E854" s="6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>
      <c r="A855" s="5"/>
      <c r="B855" s="4"/>
      <c r="C855" s="4"/>
      <c r="D855" s="4"/>
      <c r="E855" s="6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>
      <c r="A856" s="5"/>
      <c r="B856" s="4"/>
      <c r="C856" s="4"/>
      <c r="D856" s="4"/>
      <c r="E856" s="6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>
      <c r="A857" s="5"/>
      <c r="B857" s="4"/>
      <c r="C857" s="4"/>
      <c r="D857" s="4"/>
      <c r="E857" s="6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>
      <c r="A858" s="5"/>
      <c r="B858" s="4"/>
      <c r="C858" s="4"/>
      <c r="D858" s="4"/>
      <c r="E858" s="6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>
      <c r="A859" s="5"/>
      <c r="B859" s="4"/>
      <c r="C859" s="4"/>
      <c r="D859" s="4"/>
      <c r="E859" s="6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>
      <c r="A860" s="5"/>
      <c r="B860" s="4"/>
      <c r="C860" s="4"/>
      <c r="D860" s="4"/>
      <c r="E860" s="6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>
      <c r="A861" s="5"/>
      <c r="B861" s="4"/>
      <c r="C861" s="4"/>
      <c r="D861" s="4"/>
      <c r="E861" s="6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>
      <c r="A862" s="5"/>
      <c r="B862" s="4"/>
      <c r="C862" s="4"/>
      <c r="D862" s="4"/>
      <c r="E862" s="6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>
      <c r="A863" s="5"/>
      <c r="B863" s="4"/>
      <c r="C863" s="4"/>
      <c r="D863" s="4"/>
      <c r="E863" s="6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>
      <c r="A864" s="5"/>
      <c r="B864" s="4"/>
      <c r="C864" s="4"/>
      <c r="D864" s="4"/>
      <c r="E864" s="6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>
      <c r="A865" s="5"/>
      <c r="B865" s="4"/>
      <c r="C865" s="4"/>
      <c r="D865" s="4"/>
      <c r="E865" s="6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>
      <c r="A866" s="5"/>
      <c r="B866" s="4"/>
      <c r="C866" s="4"/>
      <c r="D866" s="4"/>
      <c r="E866" s="6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>
      <c r="A867" s="5"/>
      <c r="B867" s="4"/>
      <c r="C867" s="4"/>
      <c r="D867" s="4"/>
      <c r="E867" s="6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>
      <c r="A868" s="5"/>
      <c r="B868" s="4"/>
      <c r="C868" s="4"/>
      <c r="D868" s="4"/>
      <c r="E868" s="6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>
      <c r="A869" s="5"/>
      <c r="B869" s="4"/>
      <c r="C869" s="4"/>
      <c r="D869" s="4"/>
      <c r="E869" s="6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>
      <c r="A870" s="5"/>
      <c r="B870" s="4"/>
      <c r="C870" s="4"/>
      <c r="D870" s="4"/>
      <c r="E870" s="6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>
      <c r="A871" s="5"/>
      <c r="B871" s="4"/>
      <c r="C871" s="4"/>
      <c r="D871" s="4"/>
      <c r="E871" s="6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>
      <c r="A872" s="5"/>
      <c r="B872" s="4"/>
      <c r="C872" s="4"/>
      <c r="D872" s="4"/>
      <c r="E872" s="6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>
      <c r="A873" s="5"/>
      <c r="B873" s="4"/>
      <c r="C873" s="4"/>
      <c r="D873" s="4"/>
      <c r="E873" s="6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>
      <c r="A874" s="5"/>
      <c r="B874" s="4"/>
      <c r="C874" s="4"/>
      <c r="D874" s="4"/>
      <c r="E874" s="6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>
      <c r="A875" s="5"/>
      <c r="B875" s="4"/>
      <c r="C875" s="4"/>
      <c r="D875" s="4"/>
      <c r="E875" s="6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>
      <c r="A876" s="5"/>
      <c r="B876" s="4"/>
      <c r="C876" s="4"/>
      <c r="D876" s="4"/>
      <c r="E876" s="6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>
      <c r="A877" s="5"/>
      <c r="B877" s="4"/>
      <c r="C877" s="4"/>
      <c r="D877" s="4"/>
      <c r="E877" s="6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>
      <c r="A878" s="5"/>
      <c r="B878" s="4"/>
      <c r="C878" s="4"/>
      <c r="D878" s="4"/>
      <c r="E878" s="6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>
      <c r="A879" s="5"/>
      <c r="B879" s="4"/>
      <c r="C879" s="4"/>
      <c r="D879" s="4"/>
      <c r="E879" s="6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>
      <c r="A880" s="5"/>
      <c r="B880" s="4"/>
      <c r="C880" s="4"/>
      <c r="D880" s="4"/>
      <c r="E880" s="6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>
      <c r="A881" s="5"/>
      <c r="B881" s="4"/>
      <c r="C881" s="4"/>
      <c r="D881" s="4"/>
      <c r="E881" s="6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>
      <c r="A882" s="5"/>
      <c r="B882" s="4"/>
      <c r="C882" s="4"/>
      <c r="D882" s="4"/>
      <c r="E882" s="6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>
      <c r="A883" s="5"/>
      <c r="B883" s="4"/>
      <c r="C883" s="4"/>
      <c r="D883" s="4"/>
      <c r="E883" s="6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>
      <c r="A884" s="5"/>
      <c r="B884" s="4"/>
      <c r="C884" s="4"/>
      <c r="D884" s="4"/>
      <c r="E884" s="6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>
      <c r="A885" s="5"/>
      <c r="B885" s="4"/>
      <c r="C885" s="4"/>
      <c r="D885" s="4"/>
      <c r="E885" s="6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>
      <c r="A886" s="5"/>
      <c r="B886" s="4"/>
      <c r="C886" s="4"/>
      <c r="D886" s="4"/>
      <c r="E886" s="6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>
      <c r="A887" s="5"/>
      <c r="B887" s="4"/>
      <c r="C887" s="4"/>
      <c r="D887" s="4"/>
      <c r="E887" s="6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>
      <c r="A888" s="5"/>
      <c r="B888" s="4"/>
      <c r="C888" s="4"/>
      <c r="D888" s="4"/>
      <c r="E888" s="6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>
      <c r="A889" s="5"/>
      <c r="B889" s="4"/>
      <c r="C889" s="4"/>
      <c r="D889" s="4"/>
      <c r="E889" s="6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>
      <c r="A890" s="5"/>
      <c r="B890" s="4"/>
      <c r="C890" s="4"/>
      <c r="D890" s="4"/>
      <c r="E890" s="6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>
      <c r="A891" s="5"/>
      <c r="B891" s="4"/>
      <c r="C891" s="4"/>
      <c r="D891" s="4"/>
      <c r="E891" s="6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>
      <c r="A892" s="5"/>
      <c r="B892" s="4"/>
      <c r="C892" s="4"/>
      <c r="D892" s="4"/>
      <c r="E892" s="6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>
      <c r="A893" s="5"/>
      <c r="B893" s="4"/>
      <c r="C893" s="4"/>
      <c r="D893" s="4"/>
      <c r="E893" s="6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>
      <c r="A894" s="5"/>
      <c r="B894" s="4"/>
      <c r="C894" s="4"/>
      <c r="D894" s="4"/>
      <c r="E894" s="6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>
      <c r="A895" s="5"/>
      <c r="B895" s="4"/>
      <c r="C895" s="4"/>
      <c r="D895" s="4"/>
      <c r="E895" s="6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>
      <c r="A896" s="5"/>
      <c r="B896" s="4"/>
      <c r="C896" s="4"/>
      <c r="D896" s="4"/>
      <c r="E896" s="6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>
      <c r="A897" s="5"/>
      <c r="B897" s="4"/>
      <c r="C897" s="4"/>
      <c r="D897" s="4"/>
      <c r="E897" s="6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>
      <c r="A898" s="5"/>
      <c r="B898" s="4"/>
      <c r="C898" s="4"/>
      <c r="D898" s="4"/>
      <c r="E898" s="6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>
      <c r="A899" s="5"/>
      <c r="B899" s="4"/>
      <c r="C899" s="4"/>
      <c r="D899" s="4"/>
      <c r="E899" s="6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>
      <c r="A900" s="5"/>
      <c r="B900" s="4"/>
      <c r="C900" s="4"/>
      <c r="D900" s="4"/>
      <c r="E900" s="6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>
      <c r="A901" s="5"/>
      <c r="B901" s="4"/>
      <c r="C901" s="4"/>
      <c r="D901" s="4"/>
      <c r="E901" s="6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>
      <c r="A902" s="5"/>
      <c r="B902" s="4"/>
      <c r="C902" s="4"/>
      <c r="D902" s="4"/>
      <c r="E902" s="6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>
      <c r="A903" s="5"/>
      <c r="B903" s="4"/>
      <c r="C903" s="4"/>
      <c r="D903" s="4"/>
      <c r="E903" s="6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>
      <c r="A904" s="5"/>
      <c r="B904" s="4"/>
      <c r="C904" s="4"/>
      <c r="D904" s="4"/>
      <c r="E904" s="6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>
      <c r="A905" s="5"/>
      <c r="B905" s="4"/>
      <c r="C905" s="4"/>
      <c r="D905" s="4"/>
      <c r="E905" s="6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>
      <c r="A906" s="5"/>
      <c r="B906" s="4"/>
      <c r="C906" s="4"/>
      <c r="D906" s="4"/>
      <c r="E906" s="6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>
      <c r="A907" s="5"/>
      <c r="B907" s="4"/>
      <c r="C907" s="4"/>
      <c r="D907" s="4"/>
      <c r="E907" s="6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>
      <c r="A908" s="5"/>
      <c r="B908" s="4"/>
      <c r="C908" s="4"/>
      <c r="D908" s="4"/>
      <c r="E908" s="6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>
      <c r="A909" s="5"/>
      <c r="B909" s="4"/>
      <c r="C909" s="4"/>
      <c r="D909" s="4"/>
      <c r="E909" s="6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>
      <c r="A910" s="5"/>
      <c r="B910" s="4"/>
      <c r="C910" s="4"/>
      <c r="D910" s="4"/>
      <c r="E910" s="6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>
      <c r="A911" s="5"/>
      <c r="B911" s="4"/>
      <c r="C911" s="4"/>
      <c r="D911" s="4"/>
      <c r="E911" s="6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>
      <c r="A912" s="5"/>
      <c r="B912" s="4"/>
      <c r="C912" s="4"/>
      <c r="D912" s="4"/>
      <c r="E912" s="6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>
      <c r="A913" s="5"/>
      <c r="B913" s="4"/>
      <c r="C913" s="4"/>
      <c r="D913" s="4"/>
      <c r="E913" s="6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>
      <c r="A914" s="5"/>
      <c r="B914" s="4"/>
      <c r="C914" s="4"/>
      <c r="D914" s="4"/>
      <c r="E914" s="6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>
      <c r="A915" s="5"/>
      <c r="B915" s="4"/>
      <c r="C915" s="4"/>
      <c r="D915" s="4"/>
      <c r="E915" s="6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>
      <c r="A916" s="5"/>
      <c r="B916" s="4"/>
      <c r="C916" s="4"/>
      <c r="D916" s="4"/>
      <c r="E916" s="6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>
      <c r="A917" s="5"/>
      <c r="B917" s="4"/>
      <c r="C917" s="4"/>
      <c r="D917" s="4"/>
      <c r="E917" s="6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>
      <c r="A918" s="5"/>
      <c r="B918" s="4"/>
      <c r="C918" s="4"/>
      <c r="D918" s="4"/>
      <c r="E918" s="6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>
      <c r="A919" s="5"/>
      <c r="B919" s="4"/>
      <c r="C919" s="4"/>
      <c r="D919" s="4"/>
      <c r="E919" s="6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>
      <c r="A920" s="5"/>
      <c r="B920" s="4"/>
      <c r="C920" s="4"/>
      <c r="D920" s="4"/>
      <c r="E920" s="6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>
      <c r="A921" s="5"/>
      <c r="B921" s="4"/>
      <c r="C921" s="4"/>
      <c r="D921" s="4"/>
      <c r="E921" s="6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>
      <c r="A922" s="5"/>
      <c r="B922" s="4"/>
      <c r="C922" s="4"/>
      <c r="D922" s="4"/>
      <c r="E922" s="6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>
      <c r="A923" s="5"/>
      <c r="B923" s="4"/>
      <c r="C923" s="4"/>
      <c r="D923" s="4"/>
      <c r="E923" s="6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>
      <c r="A924" s="5"/>
      <c r="B924" s="4"/>
      <c r="C924" s="4"/>
      <c r="D924" s="4"/>
      <c r="E924" s="6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>
      <c r="A925" s="5"/>
      <c r="B925" s="4"/>
      <c r="C925" s="4"/>
      <c r="D925" s="4"/>
      <c r="E925" s="6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>
      <c r="A926" s="5"/>
      <c r="B926" s="4"/>
      <c r="C926" s="4"/>
      <c r="D926" s="4"/>
      <c r="E926" s="6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>
      <c r="A927" s="5"/>
      <c r="B927" s="4"/>
      <c r="C927" s="4"/>
      <c r="D927" s="4"/>
      <c r="E927" s="6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>
      <c r="A928" s="5"/>
      <c r="B928" s="4"/>
      <c r="C928" s="4"/>
      <c r="D928" s="4"/>
      <c r="E928" s="6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>
      <c r="A929" s="5"/>
      <c r="B929" s="4"/>
      <c r="C929" s="4"/>
      <c r="D929" s="4"/>
      <c r="E929" s="6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>
      <c r="A930" s="5"/>
      <c r="B930" s="4"/>
      <c r="C930" s="4"/>
      <c r="D930" s="4"/>
      <c r="E930" s="6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>
      <c r="A931" s="5"/>
      <c r="B931" s="4"/>
      <c r="C931" s="4"/>
      <c r="D931" s="4"/>
      <c r="E931" s="6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>
      <c r="A932" s="5"/>
      <c r="B932" s="4"/>
      <c r="C932" s="4"/>
      <c r="D932" s="4"/>
      <c r="E932" s="6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>
      <c r="A933" s="5"/>
      <c r="B933" s="4"/>
      <c r="C933" s="4"/>
      <c r="D933" s="4"/>
      <c r="E933" s="6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>
      <c r="A934" s="5"/>
      <c r="B934" s="4"/>
      <c r="C934" s="4"/>
      <c r="D934" s="4"/>
      <c r="E934" s="6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>
      <c r="A935" s="5"/>
      <c r="B935" s="4"/>
      <c r="C935" s="4"/>
      <c r="D935" s="4"/>
      <c r="E935" s="6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>
      <c r="A936" s="5"/>
      <c r="B936" s="4"/>
      <c r="C936" s="4"/>
      <c r="D936" s="4"/>
      <c r="E936" s="6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>
      <c r="A937" s="5"/>
      <c r="B937" s="4"/>
      <c r="C937" s="4"/>
      <c r="D937" s="4"/>
      <c r="E937" s="6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>
      <c r="A938" s="5"/>
      <c r="B938" s="4"/>
      <c r="C938" s="4"/>
      <c r="D938" s="4"/>
      <c r="E938" s="6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>
      <c r="A939" s="5"/>
      <c r="B939" s="4"/>
      <c r="C939" s="4"/>
      <c r="D939" s="4"/>
      <c r="E939" s="6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>
      <c r="A940" s="5"/>
      <c r="B940" s="4"/>
      <c r="C940" s="4"/>
      <c r="D940" s="4"/>
      <c r="E940" s="6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>
      <c r="A941" s="5"/>
      <c r="B941" s="4"/>
      <c r="C941" s="4"/>
      <c r="D941" s="4"/>
      <c r="E941" s="6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>
      <c r="A942" s="5"/>
      <c r="B942" s="4"/>
      <c r="C942" s="4"/>
      <c r="D942" s="4"/>
      <c r="E942" s="6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>
      <c r="A943" s="5"/>
      <c r="B943" s="4"/>
      <c r="C943" s="4"/>
      <c r="D943" s="4"/>
      <c r="E943" s="6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>
      <c r="A944" s="5"/>
      <c r="B944" s="4"/>
      <c r="C944" s="4"/>
      <c r="D944" s="4"/>
      <c r="E944" s="6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>
      <c r="A945" s="5"/>
      <c r="B945" s="4"/>
      <c r="C945" s="4"/>
      <c r="D945" s="4"/>
      <c r="E945" s="6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>
      <c r="A946" s="5"/>
      <c r="B946" s="4"/>
      <c r="C946" s="4"/>
      <c r="D946" s="4"/>
      <c r="E946" s="6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>
      <c r="A947" s="5"/>
      <c r="B947" s="4"/>
      <c r="C947" s="4"/>
      <c r="D947" s="4"/>
      <c r="E947" s="6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>
      <c r="A948" s="5"/>
      <c r="B948" s="4"/>
      <c r="C948" s="4"/>
      <c r="D948" s="4"/>
      <c r="E948" s="6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>
      <c r="A949" s="5"/>
      <c r="B949" s="4"/>
      <c r="C949" s="4"/>
      <c r="D949" s="4"/>
      <c r="E949" s="6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>
      <c r="A950" s="5"/>
      <c r="B950" s="4"/>
      <c r="C950" s="4"/>
      <c r="D950" s="4"/>
      <c r="E950" s="6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>
      <c r="A951" s="5"/>
      <c r="B951" s="4"/>
      <c r="C951" s="4"/>
      <c r="D951" s="4"/>
      <c r="E951" s="6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>
      <c r="A952" s="5"/>
      <c r="B952" s="4"/>
      <c r="C952" s="4"/>
      <c r="D952" s="4"/>
      <c r="E952" s="6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>
      <c r="A953" s="5"/>
      <c r="B953" s="4"/>
      <c r="C953" s="4"/>
      <c r="D953" s="4"/>
      <c r="E953" s="6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>
      <c r="A954" s="5"/>
      <c r="B954" s="4"/>
      <c r="C954" s="4"/>
      <c r="D954" s="4"/>
      <c r="E954" s="6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>
      <c r="A955" s="5"/>
      <c r="B955" s="4"/>
      <c r="C955" s="4"/>
      <c r="D955" s="4"/>
      <c r="E955" s="6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>
      <c r="A956" s="5"/>
      <c r="B956" s="4"/>
      <c r="C956" s="4"/>
      <c r="D956" s="4"/>
      <c r="E956" s="6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>
      <c r="A957" s="5"/>
      <c r="B957" s="4"/>
      <c r="C957" s="4"/>
      <c r="D957" s="4"/>
      <c r="E957" s="6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>
      <c r="A958" s="5"/>
      <c r="B958" s="4"/>
      <c r="C958" s="4"/>
      <c r="D958" s="4"/>
      <c r="E958" s="6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>
      <c r="A959" s="5"/>
      <c r="B959" s="4"/>
      <c r="C959" s="4"/>
      <c r="D959" s="4"/>
      <c r="E959" s="6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>
      <c r="A960" s="5"/>
      <c r="B960" s="4"/>
      <c r="C960" s="4"/>
      <c r="D960" s="4"/>
      <c r="E960" s="6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>
      <c r="A961" s="5"/>
      <c r="B961" s="4"/>
      <c r="C961" s="4"/>
      <c r="D961" s="4"/>
      <c r="E961" s="6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>
      <c r="A962" s="5"/>
      <c r="B962" s="4"/>
      <c r="C962" s="4"/>
      <c r="D962" s="4"/>
      <c r="E962" s="6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>
      <c r="A963" s="5"/>
      <c r="B963" s="4"/>
      <c r="C963" s="4"/>
      <c r="D963" s="4"/>
      <c r="E963" s="6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>
      <c r="A964" s="5"/>
      <c r="B964" s="4"/>
      <c r="C964" s="4"/>
      <c r="D964" s="4"/>
      <c r="E964" s="6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>
      <c r="A965" s="5"/>
      <c r="B965" s="4"/>
      <c r="C965" s="4"/>
      <c r="D965" s="4"/>
      <c r="E965" s="6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>
      <c r="A966" s="5"/>
      <c r="B966" s="4"/>
      <c r="C966" s="4"/>
      <c r="D966" s="4"/>
      <c r="E966" s="6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>
      <c r="A967" s="5"/>
      <c r="B967" s="4"/>
      <c r="C967" s="4"/>
      <c r="D967" s="4"/>
      <c r="E967" s="6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>
      <c r="A968" s="5"/>
      <c r="B968" s="4"/>
      <c r="C968" s="4"/>
      <c r="D968" s="4"/>
      <c r="E968" s="6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>
      <c r="A969" s="5"/>
      <c r="B969" s="4"/>
      <c r="C969" s="4"/>
      <c r="D969" s="4"/>
      <c r="E969" s="6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>
      <c r="A970" s="5"/>
      <c r="B970" s="4"/>
      <c r="C970" s="4"/>
      <c r="D970" s="4"/>
      <c r="E970" s="6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>
      <c r="A971" s="5"/>
      <c r="B971" s="4"/>
      <c r="C971" s="4"/>
      <c r="D971" s="4"/>
      <c r="E971" s="6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>
      <c r="A972" s="5"/>
      <c r="B972" s="4"/>
      <c r="C972" s="4"/>
      <c r="D972" s="4"/>
      <c r="E972" s="6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>
      <c r="A973" s="5"/>
      <c r="B973" s="4"/>
      <c r="C973" s="4"/>
      <c r="D973" s="4"/>
      <c r="E973" s="6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>
      <c r="A974" s="5"/>
      <c r="B974" s="4"/>
      <c r="C974" s="4"/>
      <c r="D974" s="4"/>
      <c r="E974" s="6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>
      <c r="A975" s="5"/>
      <c r="B975" s="4"/>
      <c r="C975" s="4"/>
      <c r="D975" s="4"/>
      <c r="E975" s="6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>
      <c r="A976" s="5"/>
      <c r="B976" s="4"/>
      <c r="C976" s="4"/>
      <c r="D976" s="4"/>
      <c r="E976" s="6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customHeight="1">
      <c r="A977" s="5"/>
      <c r="B977" s="4"/>
      <c r="C977" s="4"/>
      <c r="D977" s="4"/>
      <c r="E977" s="6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customHeight="1">
      <c r="A978" s="5"/>
      <c r="B978" s="4"/>
      <c r="C978" s="4"/>
      <c r="D978" s="4"/>
      <c r="E978" s="6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customHeight="1">
      <c r="A979" s="5"/>
      <c r="B979" s="4"/>
      <c r="C979" s="4"/>
      <c r="D979" s="4"/>
      <c r="E979" s="6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4.25" customHeight="1">
      <c r="A980" s="5"/>
      <c r="B980" s="4"/>
      <c r="C980" s="4"/>
      <c r="D980" s="4"/>
      <c r="E980" s="6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4.25" customHeight="1">
      <c r="A981" s="5"/>
      <c r="B981" s="4"/>
      <c r="C981" s="4"/>
      <c r="D981" s="4"/>
      <c r="E981" s="6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4.25" customHeight="1">
      <c r="A982" s="5"/>
      <c r="B982" s="4"/>
      <c r="C982" s="4"/>
      <c r="D982" s="4"/>
      <c r="E982" s="6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4.25" customHeight="1">
      <c r="A983" s="5"/>
      <c r="B983" s="4"/>
      <c r="C983" s="4"/>
      <c r="D983" s="4"/>
      <c r="E983" s="6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4.25" customHeight="1">
      <c r="A984" s="5"/>
      <c r="B984" s="4"/>
      <c r="C984" s="4"/>
      <c r="D984" s="4"/>
      <c r="E984" s="6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4.25" customHeight="1">
      <c r="A985" s="5"/>
      <c r="B985" s="4"/>
      <c r="C985" s="4"/>
      <c r="D985" s="4"/>
      <c r="E985" s="6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4.25" customHeight="1">
      <c r="A986" s="5"/>
      <c r="B986" s="4"/>
      <c r="C986" s="4"/>
      <c r="D986" s="4"/>
      <c r="E986" s="6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4.25" customHeight="1">
      <c r="A987" s="5"/>
      <c r="B987" s="4"/>
      <c r="C987" s="4"/>
      <c r="D987" s="4"/>
      <c r="E987" s="6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4.25" customHeight="1">
      <c r="A988" s="5"/>
      <c r="B988" s="4"/>
      <c r="C988" s="4"/>
      <c r="D988" s="4"/>
      <c r="E988" s="6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4.25" customHeight="1">
      <c r="A989" s="5"/>
      <c r="B989" s="4"/>
      <c r="C989" s="4"/>
      <c r="D989" s="4"/>
      <c r="E989" s="6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4.25" customHeight="1">
      <c r="A990" s="5"/>
      <c r="B990" s="4"/>
      <c r="C990" s="4"/>
      <c r="D990" s="4"/>
      <c r="E990" s="6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4.25" customHeight="1">
      <c r="A991" s="5"/>
      <c r="B991" s="4"/>
      <c r="C991" s="4"/>
      <c r="D991" s="4"/>
      <c r="E991" s="6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4.25" customHeight="1">
      <c r="A992" s="5"/>
      <c r="B992" s="4"/>
      <c r="C992" s="4"/>
      <c r="D992" s="4"/>
      <c r="E992" s="6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4.25" customHeight="1">
      <c r="A993" s="5"/>
      <c r="B993" s="4"/>
      <c r="C993" s="4"/>
      <c r="D993" s="4"/>
      <c r="E993" s="6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4.25" customHeight="1">
      <c r="A994" s="5"/>
      <c r="B994" s="4"/>
      <c r="C994" s="4"/>
      <c r="D994" s="4"/>
      <c r="E994" s="6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4.25" customHeight="1">
      <c r="A995" s="5"/>
      <c r="B995" s="4"/>
      <c r="C995" s="4"/>
      <c r="D995" s="4"/>
      <c r="E995" s="6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4.25" customHeight="1">
      <c r="A996" s="5"/>
      <c r="B996" s="4"/>
      <c r="C996" s="4"/>
      <c r="D996" s="4"/>
      <c r="E996" s="6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4.25" customHeight="1">
      <c r="A997" s="5"/>
      <c r="B997" s="4"/>
      <c r="C997" s="4"/>
      <c r="D997" s="4"/>
      <c r="E997" s="6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4.25" customHeight="1">
      <c r="A998" s="5"/>
      <c r="B998" s="4"/>
      <c r="C998" s="4"/>
      <c r="D998" s="4"/>
      <c r="E998" s="6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4.25" customHeight="1">
      <c r="A999" s="5"/>
      <c r="B999" s="4"/>
      <c r="C999" s="4"/>
      <c r="D999" s="4"/>
      <c r="E999" s="6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4.25" customHeight="1">
      <c r="A1000" s="5"/>
      <c r="B1000" s="4"/>
      <c r="C1000" s="4"/>
      <c r="D1000" s="4"/>
      <c r="E1000" s="6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0"/>
  <sheetViews>
    <sheetView tabSelected="1" zoomScale="85" zoomScaleNormal="85" workbookViewId="0">
      <selection activeCell="L12" sqref="L12"/>
    </sheetView>
  </sheetViews>
  <sheetFormatPr defaultColWidth="12.6640625" defaultRowHeight="15" customHeight="1"/>
  <cols>
    <col min="1" max="1" width="2.5" customWidth="1"/>
    <col min="2" max="2" width="38.4140625" customWidth="1"/>
    <col min="3" max="3" width="16.1640625" customWidth="1"/>
    <col min="4" max="5" width="15.25" customWidth="1"/>
    <col min="6" max="6" width="12.6640625" customWidth="1"/>
    <col min="7" max="7" width="20.1640625" customWidth="1"/>
    <col min="8" max="8" width="16.58203125" customWidth="1"/>
    <col min="9" max="9" width="15.25" customWidth="1"/>
    <col min="10" max="10" width="8" customWidth="1"/>
    <col min="11" max="26" width="7.75" customWidth="1"/>
  </cols>
  <sheetData>
    <row r="1" spans="1:11" ht="14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4">
      <c r="A2" s="4"/>
      <c r="B2" s="4"/>
      <c r="C2" s="4"/>
      <c r="D2" s="4"/>
      <c r="E2" s="4"/>
      <c r="F2" s="4"/>
      <c r="G2" s="4"/>
      <c r="H2" s="208" t="s">
        <v>265</v>
      </c>
      <c r="I2" s="4"/>
      <c r="J2" s="4"/>
      <c r="K2" s="4"/>
    </row>
    <row r="3" spans="1:11" ht="14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25.5" customHeight="1">
      <c r="A4" s="4"/>
      <c r="B4" s="176" t="s">
        <v>67</v>
      </c>
      <c r="C4" s="177"/>
      <c r="D4" s="177"/>
      <c r="E4" s="177"/>
      <c r="F4" s="177"/>
      <c r="G4" s="177"/>
      <c r="H4" s="177"/>
      <c r="I4" s="177"/>
      <c r="J4" s="177"/>
      <c r="K4" s="178"/>
    </row>
    <row r="5" spans="1:11" ht="18.5">
      <c r="A5" s="4"/>
      <c r="B5" s="17" t="s">
        <v>68</v>
      </c>
      <c r="C5" s="18" t="s">
        <v>69</v>
      </c>
      <c r="D5" s="19"/>
      <c r="E5" s="20"/>
      <c r="F5" s="19"/>
      <c r="G5" s="21"/>
      <c r="H5" s="22"/>
      <c r="I5" s="22"/>
      <c r="J5" s="22"/>
      <c r="K5" s="22"/>
    </row>
    <row r="6" spans="1:11" ht="14.5">
      <c r="A6" s="4"/>
      <c r="B6" s="23"/>
      <c r="C6" s="18" t="s">
        <v>70</v>
      </c>
      <c r="D6" s="19"/>
      <c r="E6" s="20"/>
      <c r="F6" s="19"/>
      <c r="G6" s="182"/>
      <c r="H6" s="22"/>
      <c r="I6" s="22"/>
      <c r="J6" s="22"/>
      <c r="K6" s="22"/>
    </row>
    <row r="7" spans="1:11" ht="14.5">
      <c r="A7" s="4"/>
      <c r="B7" s="23"/>
      <c r="C7" s="18" t="s">
        <v>71</v>
      </c>
      <c r="D7" s="19"/>
      <c r="E7" s="20"/>
      <c r="F7" s="19"/>
      <c r="G7" s="24"/>
      <c r="H7" s="22"/>
      <c r="I7" s="22"/>
      <c r="J7" s="22"/>
      <c r="K7" s="22"/>
    </row>
    <row r="8" spans="1:11" ht="14">
      <c r="A8" s="4"/>
      <c r="B8" s="4"/>
      <c r="C8" s="22"/>
      <c r="D8" s="22"/>
      <c r="E8" s="22"/>
      <c r="F8" s="22"/>
      <c r="G8" s="22"/>
      <c r="H8" s="22"/>
      <c r="I8" s="22"/>
      <c r="J8" s="22"/>
      <c r="K8" s="22"/>
    </row>
    <row r="9" spans="1:11" ht="14">
      <c r="A9" s="4"/>
      <c r="B9" s="4"/>
      <c r="C9" s="22"/>
      <c r="D9" s="22"/>
      <c r="E9" s="22"/>
      <c r="F9" s="22"/>
      <c r="G9" s="22"/>
      <c r="H9" s="22"/>
      <c r="I9" s="22"/>
      <c r="J9" s="22"/>
      <c r="K9" s="22"/>
    </row>
    <row r="10" spans="1:11" ht="14">
      <c r="A10" s="4"/>
      <c r="B10" s="25" t="s">
        <v>72</v>
      </c>
      <c r="C10" s="26"/>
      <c r="D10" s="26"/>
      <c r="E10" s="26"/>
      <c r="F10" s="4"/>
      <c r="G10" s="4"/>
      <c r="H10" s="27" t="s">
        <v>73</v>
      </c>
      <c r="I10" s="4"/>
      <c r="J10" s="4"/>
      <c r="K10" s="4"/>
    </row>
    <row r="11" spans="1:11" ht="14">
      <c r="A11" s="4"/>
      <c r="B11" s="4"/>
      <c r="C11" s="4"/>
      <c r="D11" s="4"/>
      <c r="E11" s="4"/>
      <c r="F11" s="4"/>
      <c r="G11" s="4"/>
      <c r="H11" s="28" t="s">
        <v>74</v>
      </c>
      <c r="I11" s="4"/>
      <c r="J11" s="4"/>
      <c r="K11" s="4"/>
    </row>
    <row r="12" spans="1:11" ht="14">
      <c r="A12" s="4"/>
      <c r="B12" s="29" t="s">
        <v>75</v>
      </c>
      <c r="C12" s="29" t="s">
        <v>76</v>
      </c>
      <c r="D12" s="29" t="s">
        <v>77</v>
      </c>
      <c r="E12" s="29" t="s">
        <v>78</v>
      </c>
      <c r="F12" s="30" t="s">
        <v>79</v>
      </c>
      <c r="G12" s="31" t="s">
        <v>80</v>
      </c>
      <c r="H12" s="32" t="s">
        <v>81</v>
      </c>
      <c r="I12" s="4"/>
      <c r="J12" s="4"/>
      <c r="K12" s="4"/>
    </row>
    <row r="13" spans="1:11" ht="14">
      <c r="A13" s="4"/>
      <c r="B13" s="33" t="s">
        <v>82</v>
      </c>
      <c r="C13" s="34">
        <v>5</v>
      </c>
      <c r="D13" s="34">
        <v>12</v>
      </c>
      <c r="E13" s="34">
        <f t="shared" ref="E13:E17" si="0">D13*C13</f>
        <v>60</v>
      </c>
      <c r="F13" s="34">
        <v>30</v>
      </c>
      <c r="G13" s="34">
        <v>5</v>
      </c>
      <c r="H13" s="35">
        <f t="shared" ref="H13:H17" si="1">C13*F13*D13*G13/1000</f>
        <v>9</v>
      </c>
      <c r="I13" s="4"/>
      <c r="J13" s="4"/>
      <c r="K13" s="4"/>
    </row>
    <row r="14" spans="1:11" ht="14">
      <c r="A14" s="4"/>
      <c r="B14" s="36" t="s">
        <v>83</v>
      </c>
      <c r="C14" s="34">
        <v>1</v>
      </c>
      <c r="D14" s="34">
        <v>180</v>
      </c>
      <c r="E14" s="34">
        <f t="shared" si="0"/>
        <v>180</v>
      </c>
      <c r="F14" s="34">
        <v>30</v>
      </c>
      <c r="G14" s="34">
        <v>10</v>
      </c>
      <c r="H14" s="37">
        <f t="shared" si="1"/>
        <v>54</v>
      </c>
      <c r="I14" s="4"/>
      <c r="J14" s="4"/>
      <c r="K14" s="4"/>
    </row>
    <row r="15" spans="1:11" ht="14">
      <c r="A15" s="4"/>
      <c r="B15" s="33" t="s">
        <v>84</v>
      </c>
      <c r="C15" s="34">
        <v>2</v>
      </c>
      <c r="D15" s="34">
        <v>95</v>
      </c>
      <c r="E15" s="34">
        <f t="shared" si="0"/>
        <v>190</v>
      </c>
      <c r="F15" s="34">
        <v>30</v>
      </c>
      <c r="G15" s="34">
        <v>5</v>
      </c>
      <c r="H15" s="37">
        <f t="shared" si="1"/>
        <v>28.5</v>
      </c>
      <c r="I15" s="4"/>
      <c r="J15" s="4"/>
      <c r="K15" s="4"/>
    </row>
    <row r="16" spans="1:11" ht="14">
      <c r="A16" s="4"/>
      <c r="B16" s="33" t="s">
        <v>85</v>
      </c>
      <c r="C16" s="34">
        <v>1</v>
      </c>
      <c r="D16" s="34">
        <v>500</v>
      </c>
      <c r="E16" s="34">
        <f t="shared" si="0"/>
        <v>500</v>
      </c>
      <c r="F16" s="34">
        <v>12</v>
      </c>
      <c r="G16" s="34">
        <v>1</v>
      </c>
      <c r="H16" s="37">
        <f t="shared" si="1"/>
        <v>6</v>
      </c>
      <c r="I16" s="4"/>
      <c r="J16" s="4"/>
      <c r="K16" s="4"/>
    </row>
    <row r="17" spans="1:11" ht="14">
      <c r="A17" s="4"/>
      <c r="B17" s="33" t="s">
        <v>54</v>
      </c>
      <c r="C17" s="34">
        <v>2</v>
      </c>
      <c r="D17" s="34">
        <v>30</v>
      </c>
      <c r="E17" s="34">
        <f t="shared" si="0"/>
        <v>60</v>
      </c>
      <c r="F17" s="34">
        <v>30</v>
      </c>
      <c r="G17" s="34">
        <v>8</v>
      </c>
      <c r="H17" s="37">
        <f t="shared" si="1"/>
        <v>14.4</v>
      </c>
      <c r="I17" s="4"/>
      <c r="J17" s="4"/>
      <c r="K17" s="4"/>
    </row>
    <row r="18" spans="1:11" ht="14">
      <c r="A18" s="4"/>
      <c r="B18" s="34"/>
      <c r="C18" s="34"/>
      <c r="D18" s="34"/>
      <c r="E18" s="34"/>
      <c r="F18" s="33"/>
      <c r="G18" s="34"/>
      <c r="H18" s="34"/>
      <c r="I18" s="4"/>
      <c r="J18" s="4"/>
      <c r="K18" s="4"/>
    </row>
    <row r="19" spans="1:11" ht="14">
      <c r="A19" s="4"/>
      <c r="B19" s="34"/>
      <c r="C19" s="34"/>
      <c r="D19" s="34"/>
      <c r="E19" s="34"/>
      <c r="F19" s="34"/>
      <c r="G19" s="34"/>
      <c r="H19" s="34"/>
      <c r="I19" s="4"/>
      <c r="J19" s="4"/>
      <c r="K19" s="4"/>
    </row>
    <row r="20" spans="1:11" ht="14">
      <c r="A20" s="4"/>
      <c r="B20" s="34"/>
      <c r="C20" s="34"/>
      <c r="D20" s="34"/>
      <c r="E20" s="34"/>
      <c r="F20" s="34"/>
      <c r="G20" s="34"/>
      <c r="H20" s="34"/>
      <c r="I20" s="4"/>
      <c r="J20" s="4"/>
      <c r="K20" s="4"/>
    </row>
    <row r="21" spans="1:11" ht="15.75" customHeight="1">
      <c r="A21" s="4"/>
      <c r="B21" s="34"/>
      <c r="C21" s="34"/>
      <c r="D21" s="34"/>
      <c r="E21" s="34"/>
      <c r="F21" s="34"/>
      <c r="G21" s="34"/>
      <c r="H21" s="34"/>
      <c r="I21" s="4"/>
      <c r="J21" s="4"/>
      <c r="K21" s="4"/>
    </row>
    <row r="22" spans="1:11" ht="15.75" customHeight="1">
      <c r="A22" s="4"/>
      <c r="B22" s="34"/>
      <c r="C22" s="34"/>
      <c r="D22" s="34"/>
      <c r="E22" s="34"/>
      <c r="F22" s="34"/>
      <c r="G22" s="34"/>
      <c r="H22" s="34"/>
      <c r="I22" s="4"/>
      <c r="J22" s="4"/>
      <c r="K22" s="4"/>
    </row>
    <row r="23" spans="1:11" ht="15.75" customHeight="1">
      <c r="A23" s="4"/>
      <c r="B23" s="34"/>
      <c r="C23" s="34"/>
      <c r="D23" s="34"/>
      <c r="E23" s="34"/>
      <c r="F23" s="34"/>
      <c r="G23" s="34"/>
      <c r="H23" s="34"/>
      <c r="I23" s="4"/>
      <c r="J23" s="4"/>
      <c r="K23" s="4"/>
    </row>
    <row r="24" spans="1:11" ht="15.75" customHeight="1">
      <c r="A24" s="4"/>
      <c r="B24" s="34"/>
      <c r="C24" s="34"/>
      <c r="D24" s="34"/>
      <c r="E24" s="34"/>
      <c r="F24" s="34"/>
      <c r="G24" s="34"/>
      <c r="H24" s="34"/>
      <c r="I24" s="4"/>
      <c r="J24" s="4"/>
      <c r="K24" s="4"/>
    </row>
    <row r="25" spans="1:11" ht="15.75" customHeight="1">
      <c r="A25" s="4"/>
      <c r="B25" s="34"/>
      <c r="C25" s="34"/>
      <c r="D25" s="34"/>
      <c r="E25" s="34"/>
      <c r="F25" s="34"/>
      <c r="G25" s="34"/>
      <c r="H25" s="34"/>
      <c r="I25" s="4"/>
      <c r="J25" s="4"/>
      <c r="K25" s="4"/>
    </row>
    <row r="26" spans="1:11" ht="15.75" customHeight="1">
      <c r="A26" s="4"/>
      <c r="B26" s="34"/>
      <c r="C26" s="38"/>
      <c r="D26" s="38"/>
      <c r="E26" s="38"/>
      <c r="F26" s="34"/>
      <c r="G26" s="38"/>
      <c r="H26" s="38"/>
      <c r="I26" s="4"/>
      <c r="J26" s="4"/>
      <c r="K26" s="4"/>
    </row>
    <row r="27" spans="1:11" ht="15.75" customHeight="1">
      <c r="A27" s="4"/>
      <c r="B27" s="4"/>
      <c r="C27" s="206" t="s">
        <v>263</v>
      </c>
      <c r="D27" s="39"/>
      <c r="E27" s="205">
        <f>SUM(E13:E17)</f>
        <v>990</v>
      </c>
      <c r="F27" s="4" t="s">
        <v>86</v>
      </c>
      <c r="G27" s="40" t="s">
        <v>87</v>
      </c>
      <c r="H27" s="203">
        <f>SUM(H13:H24)</f>
        <v>111.9</v>
      </c>
      <c r="I27" s="25" t="s">
        <v>88</v>
      </c>
      <c r="J27" s="4"/>
      <c r="K27" s="4"/>
    </row>
    <row r="28" spans="1:11" ht="15.75" customHeight="1">
      <c r="A28" s="4"/>
      <c r="B28" s="4"/>
      <c r="C28" s="4"/>
      <c r="D28" s="4"/>
      <c r="E28" s="4"/>
      <c r="F28" s="4"/>
      <c r="G28" s="41" t="s">
        <v>89</v>
      </c>
      <c r="H28" s="204">
        <f>H27/30</f>
        <v>3.73</v>
      </c>
      <c r="I28" s="25" t="s">
        <v>90</v>
      </c>
      <c r="J28" s="4"/>
      <c r="K28" s="4"/>
    </row>
    <row r="29" spans="1:11" ht="15.75" customHeight="1">
      <c r="A29" s="4"/>
      <c r="B29" s="25" t="s">
        <v>91</v>
      </c>
      <c r="C29" s="34">
        <v>127</v>
      </c>
      <c r="D29" s="4" t="s">
        <v>92</v>
      </c>
      <c r="H29" s="4"/>
      <c r="I29" s="4"/>
      <c r="J29" s="4"/>
      <c r="K29" s="4"/>
    </row>
    <row r="30" spans="1:11" ht="15.75" customHeight="1">
      <c r="A30" s="4"/>
      <c r="B30" s="207" t="s">
        <v>93</v>
      </c>
      <c r="C30" s="34">
        <v>0.9</v>
      </c>
      <c r="D30" s="4"/>
      <c r="E30" s="22" t="s">
        <v>94</v>
      </c>
      <c r="H30" s="4"/>
      <c r="I30" s="4"/>
      <c r="J30" s="4"/>
      <c r="K30" s="4"/>
    </row>
    <row r="31" spans="1:11" ht="15.75" customHeight="1">
      <c r="A31" s="4"/>
      <c r="B31" s="25" t="s">
        <v>95</v>
      </c>
      <c r="C31" s="181">
        <f>E27/(C29*C30)</f>
        <v>8.6614173228346463</v>
      </c>
      <c r="D31" s="194" t="s">
        <v>149</v>
      </c>
      <c r="E31" s="199" t="s">
        <v>264</v>
      </c>
      <c r="H31" s="4"/>
      <c r="I31" s="4"/>
      <c r="J31" s="4"/>
      <c r="K31" s="4"/>
    </row>
    <row r="32" spans="1:11" ht="15.75" customHeight="1">
      <c r="A32" s="4"/>
      <c r="B32" s="4"/>
      <c r="C32" s="4"/>
      <c r="D32" s="4"/>
      <c r="E32" s="4"/>
      <c r="F32" s="4"/>
      <c r="I32" s="4"/>
      <c r="J32" s="4"/>
      <c r="K32" s="4"/>
    </row>
    <row r="33" spans="1:11" ht="15.75" customHeight="1">
      <c r="A33" s="4"/>
      <c r="B33" s="25" t="s">
        <v>96</v>
      </c>
      <c r="C33" s="42"/>
      <c r="D33" s="42"/>
      <c r="E33" s="42"/>
      <c r="F33" s="42"/>
      <c r="G33" s="42"/>
      <c r="H33" s="4"/>
      <c r="I33" s="4"/>
      <c r="J33" s="4"/>
      <c r="K33" s="4"/>
    </row>
    <row r="34" spans="1:11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ht="15.75" customHeight="1">
      <c r="A35" s="4"/>
      <c r="B35" s="25" t="s">
        <v>97</v>
      </c>
      <c r="C35" s="34">
        <v>24</v>
      </c>
      <c r="D35" s="4" t="s">
        <v>92</v>
      </c>
      <c r="E35" s="22" t="s">
        <v>98</v>
      </c>
      <c r="F35" s="4"/>
      <c r="G35" s="4"/>
      <c r="H35" s="4"/>
      <c r="I35" s="4"/>
      <c r="J35" s="4"/>
      <c r="K35" s="4"/>
    </row>
    <row r="36" spans="1:11" ht="15.75" customHeight="1">
      <c r="A36" s="4"/>
      <c r="B36" s="25" t="s">
        <v>99</v>
      </c>
      <c r="C36" s="34">
        <v>0.85</v>
      </c>
      <c r="D36" s="4"/>
      <c r="E36" s="6" t="s">
        <v>100</v>
      </c>
      <c r="F36" s="4"/>
      <c r="G36" s="4"/>
      <c r="H36" s="4"/>
      <c r="I36" s="4"/>
      <c r="J36" s="4"/>
      <c r="K36" s="4"/>
    </row>
    <row r="37" spans="1:11" ht="15.75" customHeight="1">
      <c r="A37" s="4"/>
      <c r="B37" s="25" t="s">
        <v>101</v>
      </c>
      <c r="C37" s="43">
        <f>C29</f>
        <v>127</v>
      </c>
      <c r="D37" s="4" t="s">
        <v>92</v>
      </c>
      <c r="E37" s="22" t="s">
        <v>102</v>
      </c>
      <c r="F37" s="4"/>
      <c r="G37" s="4"/>
      <c r="H37" s="4"/>
      <c r="I37" s="4"/>
      <c r="J37" s="4"/>
      <c r="K37" s="4"/>
    </row>
    <row r="38" spans="1:11" ht="15.75" customHeight="1">
      <c r="A38" s="4"/>
      <c r="B38" s="25" t="s">
        <v>103</v>
      </c>
      <c r="C38" s="183">
        <f>E27/C36</f>
        <v>1164.7058823529412</v>
      </c>
      <c r="D38" s="4" t="s">
        <v>86</v>
      </c>
      <c r="E38" s="44" t="s">
        <v>104</v>
      </c>
      <c r="F38" s="4"/>
      <c r="G38" s="4"/>
      <c r="H38" s="4"/>
      <c r="I38" s="4"/>
      <c r="J38" s="4"/>
      <c r="K38" s="4"/>
    </row>
    <row r="39" spans="1:11" ht="15.75" customHeight="1">
      <c r="A39" s="4"/>
      <c r="B39" s="4"/>
      <c r="C39" s="4"/>
      <c r="F39" s="4"/>
      <c r="G39" s="4"/>
      <c r="H39" s="4"/>
      <c r="I39" s="4"/>
      <c r="J39" s="4"/>
      <c r="K39" s="4"/>
    </row>
    <row r="40" spans="1:11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ht="15.75" customHeight="1">
      <c r="A42" s="4"/>
      <c r="B42" s="25" t="s">
        <v>105</v>
      </c>
      <c r="C42" s="26"/>
      <c r="D42" s="26"/>
      <c r="E42" s="26"/>
      <c r="F42" s="26"/>
      <c r="G42" s="26"/>
      <c r="H42" s="4"/>
      <c r="I42" s="4"/>
      <c r="J42" s="4"/>
      <c r="K42" s="4"/>
    </row>
    <row r="43" spans="1:11" ht="15.75" customHeight="1">
      <c r="A43" s="4"/>
      <c r="B43" s="3" t="s">
        <v>106</v>
      </c>
      <c r="C43" s="2" t="s">
        <v>107</v>
      </c>
      <c r="D43" s="6"/>
      <c r="E43" s="6" t="s">
        <v>108</v>
      </c>
      <c r="F43" s="4"/>
      <c r="G43" s="4"/>
      <c r="H43" s="4"/>
      <c r="I43" s="4"/>
      <c r="J43" s="4"/>
      <c r="K43" s="4"/>
    </row>
    <row r="44" spans="1:11" ht="15.75" customHeight="1">
      <c r="A44" s="4"/>
      <c r="B44" s="25" t="s">
        <v>109</v>
      </c>
      <c r="C44" s="45">
        <v>12</v>
      </c>
      <c r="D44" s="4" t="s">
        <v>92</v>
      </c>
      <c r="E44" s="4"/>
      <c r="F44" s="4"/>
      <c r="G44" s="4"/>
      <c r="H44" s="4"/>
      <c r="I44" s="4"/>
      <c r="J44" s="4"/>
      <c r="K44" s="4"/>
    </row>
    <row r="45" spans="1:11" ht="15.75" customHeight="1">
      <c r="A45" s="4"/>
      <c r="B45" s="25" t="s">
        <v>110</v>
      </c>
      <c r="C45" s="45">
        <v>150</v>
      </c>
      <c r="D45" s="4" t="s">
        <v>111</v>
      </c>
      <c r="E45" s="6" t="s">
        <v>112</v>
      </c>
      <c r="F45" s="4"/>
      <c r="G45" s="4"/>
      <c r="H45" s="4"/>
      <c r="I45" s="4"/>
      <c r="J45" s="4"/>
      <c r="K45" s="4"/>
    </row>
    <row r="46" spans="1:11" ht="15.75" customHeight="1">
      <c r="A46" s="4"/>
      <c r="B46" s="25" t="s">
        <v>113</v>
      </c>
      <c r="C46" s="45">
        <v>2</v>
      </c>
      <c r="D46" s="4" t="s">
        <v>114</v>
      </c>
      <c r="E46" s="4"/>
      <c r="F46" s="4"/>
      <c r="G46" s="4"/>
      <c r="H46" s="4"/>
      <c r="I46" s="4"/>
      <c r="J46" s="4"/>
      <c r="K46" s="4"/>
    </row>
    <row r="47" spans="1:11" ht="15.75" customHeight="1">
      <c r="A47" s="4"/>
      <c r="B47" s="25" t="s">
        <v>115</v>
      </c>
      <c r="C47" s="45">
        <v>0.4</v>
      </c>
      <c r="D47" s="4"/>
      <c r="E47" s="6" t="s">
        <v>116</v>
      </c>
      <c r="F47" s="4"/>
      <c r="G47" s="4"/>
      <c r="H47" s="4"/>
      <c r="I47" s="4"/>
      <c r="J47" s="4"/>
      <c r="K47" s="4"/>
    </row>
    <row r="48" spans="1:11" ht="15.75" customHeight="1">
      <c r="A48" s="4"/>
      <c r="B48" s="25" t="s">
        <v>117</v>
      </c>
      <c r="C48" s="46">
        <v>40</v>
      </c>
      <c r="D48" s="4" t="s">
        <v>118</v>
      </c>
      <c r="E48" s="6" t="s">
        <v>119</v>
      </c>
      <c r="F48" s="4"/>
      <c r="G48" s="4"/>
      <c r="H48" s="4"/>
      <c r="I48" s="4"/>
      <c r="J48" s="4"/>
      <c r="K48" s="4"/>
    </row>
    <row r="49" spans="1:11" ht="15.75" customHeight="1">
      <c r="A49" s="4"/>
      <c r="B49" s="47" t="s">
        <v>120</v>
      </c>
      <c r="C49" s="185">
        <f>C35</f>
        <v>24</v>
      </c>
      <c r="D49" s="4" t="s">
        <v>92</v>
      </c>
      <c r="E49" s="6" t="s">
        <v>121</v>
      </c>
      <c r="F49" s="4"/>
      <c r="G49" s="4"/>
      <c r="H49" s="4"/>
      <c r="I49" s="4"/>
      <c r="J49" s="4"/>
      <c r="K49" s="4"/>
    </row>
    <row r="50" spans="1:11" ht="15.75" customHeight="1">
      <c r="A50" s="4"/>
      <c r="B50" s="48" t="s">
        <v>122</v>
      </c>
      <c r="C50" s="184">
        <f>C35/12</f>
        <v>2</v>
      </c>
      <c r="D50" s="4"/>
      <c r="E50" s="6" t="s">
        <v>123</v>
      </c>
      <c r="F50" s="4"/>
      <c r="G50" s="4"/>
      <c r="H50" s="4"/>
      <c r="I50" s="4"/>
      <c r="J50" s="4"/>
      <c r="K50" s="4"/>
    </row>
    <row r="51" spans="1:11" ht="15.75" customHeight="1">
      <c r="A51" s="4"/>
      <c r="B51" s="49" t="s">
        <v>124</v>
      </c>
      <c r="C51" s="186">
        <f>H28*C46*1000/(C49*C47)</f>
        <v>777.08333333333326</v>
      </c>
      <c r="D51" s="4" t="s">
        <v>111</v>
      </c>
      <c r="E51" s="4"/>
      <c r="F51" s="4"/>
      <c r="G51" s="4"/>
      <c r="H51" s="4"/>
      <c r="I51" s="4"/>
      <c r="J51" s="4"/>
      <c r="K51" s="4"/>
    </row>
    <row r="52" spans="1:11" ht="15.75" customHeight="1">
      <c r="A52" s="4"/>
      <c r="B52" s="48" t="s">
        <v>125</v>
      </c>
      <c r="C52" s="186">
        <f>ROUND(C51/(C45),0)</f>
        <v>5</v>
      </c>
      <c r="D52" s="4"/>
      <c r="E52" s="4"/>
      <c r="F52" s="4"/>
      <c r="G52" s="4"/>
      <c r="H52" s="4"/>
      <c r="I52" s="4"/>
      <c r="J52" s="4"/>
      <c r="K52" s="4"/>
    </row>
    <row r="53" spans="1:11" ht="15.75" customHeight="1">
      <c r="A53" s="4"/>
      <c r="B53" s="50" t="s">
        <v>126</v>
      </c>
      <c r="C53" s="187">
        <f>ROUND(C52*C50,0)</f>
        <v>10</v>
      </c>
      <c r="D53" s="4"/>
      <c r="E53" s="4"/>
      <c r="F53" s="4"/>
      <c r="G53" s="4"/>
      <c r="H53" s="4"/>
      <c r="I53" s="4"/>
      <c r="J53" s="4"/>
      <c r="K53" s="4"/>
    </row>
    <row r="54" spans="1:11" ht="15.75" customHeight="1">
      <c r="A54" s="4"/>
      <c r="B54" s="47" t="s">
        <v>127</v>
      </c>
      <c r="C54" s="51">
        <f>C47/C46</f>
        <v>0.2</v>
      </c>
      <c r="D54" s="6" t="s">
        <v>128</v>
      </c>
      <c r="F54" s="4"/>
      <c r="G54" s="4"/>
      <c r="H54" s="4"/>
      <c r="I54" s="4"/>
      <c r="J54" s="4"/>
      <c r="K54" s="4"/>
    </row>
    <row r="55" spans="1:11" ht="15.75" customHeight="1">
      <c r="A55" s="4"/>
      <c r="B55" s="48" t="s">
        <v>129</v>
      </c>
      <c r="C55" s="52">
        <v>1500</v>
      </c>
      <c r="D55" s="4" t="s">
        <v>130</v>
      </c>
      <c r="E55" s="6" t="s">
        <v>131</v>
      </c>
      <c r="F55" s="4"/>
      <c r="G55" s="4"/>
      <c r="H55" s="4"/>
      <c r="I55" s="4"/>
      <c r="J55" s="4"/>
      <c r="K55" s="4"/>
    </row>
    <row r="56" spans="1:11" ht="15.75" customHeight="1">
      <c r="A56" s="4"/>
      <c r="B56" s="48" t="s">
        <v>132</v>
      </c>
      <c r="C56" s="186">
        <f>C55/365</f>
        <v>4.1095890410958908</v>
      </c>
      <c r="D56" s="4" t="s">
        <v>133</v>
      </c>
      <c r="E56" s="6"/>
      <c r="F56" s="4"/>
      <c r="G56" s="4"/>
      <c r="H56" s="4"/>
      <c r="I56" s="4"/>
      <c r="J56" s="4"/>
      <c r="K56" s="4"/>
    </row>
    <row r="57" spans="1:11" ht="15.75" customHeight="1">
      <c r="A57" s="4"/>
      <c r="B57" s="48" t="s">
        <v>134</v>
      </c>
      <c r="C57" s="53">
        <v>0.9</v>
      </c>
      <c r="D57" s="4"/>
      <c r="E57" s="6" t="s">
        <v>135</v>
      </c>
      <c r="F57" s="4"/>
      <c r="G57" s="4"/>
      <c r="H57" s="4"/>
      <c r="I57" s="4"/>
      <c r="J57" s="4"/>
      <c r="K57" s="4"/>
    </row>
    <row r="58" spans="1:11" ht="15.75" customHeight="1">
      <c r="A58" s="4"/>
      <c r="B58" s="50" t="s">
        <v>136</v>
      </c>
      <c r="C58" s="187">
        <f>C56*C57</f>
        <v>3.6986301369863019</v>
      </c>
      <c r="D58" s="4" t="s">
        <v>133</v>
      </c>
      <c r="E58" s="6"/>
      <c r="F58" s="4"/>
      <c r="G58" s="4"/>
      <c r="H58" s="4"/>
      <c r="I58" s="4"/>
      <c r="J58" s="4"/>
      <c r="K58" s="4"/>
    </row>
    <row r="59" spans="1:11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ht="15.75" customHeight="1">
      <c r="A60" s="4"/>
      <c r="B60" s="25" t="s">
        <v>137</v>
      </c>
      <c r="C60" s="26"/>
      <c r="D60" s="26"/>
      <c r="E60" s="26"/>
      <c r="F60" s="26"/>
      <c r="G60" s="26"/>
      <c r="H60" s="4"/>
      <c r="I60" s="4"/>
      <c r="J60" s="4"/>
      <c r="K60" s="4"/>
    </row>
    <row r="61" spans="1:11" ht="15.75" customHeight="1">
      <c r="A61" s="4"/>
      <c r="B61" s="4" t="s">
        <v>138</v>
      </c>
      <c r="C61" s="4"/>
      <c r="D61" s="4"/>
      <c r="E61" s="6" t="s">
        <v>139</v>
      </c>
      <c r="F61" s="4"/>
      <c r="G61" s="4"/>
      <c r="H61" s="4"/>
      <c r="I61" s="4"/>
      <c r="J61" s="4"/>
      <c r="K61" s="4"/>
    </row>
    <row r="62" spans="1:11" ht="15.75" customHeight="1">
      <c r="A62" s="4"/>
      <c r="B62" s="54" t="s">
        <v>140</v>
      </c>
      <c r="C62" s="45">
        <v>4.97</v>
      </c>
      <c r="D62" s="55" t="s">
        <v>141</v>
      </c>
      <c r="E62" s="6" t="s">
        <v>142</v>
      </c>
      <c r="F62" s="4"/>
      <c r="G62" s="4"/>
      <c r="H62" s="4"/>
      <c r="I62" s="4"/>
      <c r="J62" s="4"/>
      <c r="K62" s="4"/>
    </row>
    <row r="63" spans="1:11" ht="15.75" customHeight="1">
      <c r="A63" s="4"/>
      <c r="B63" s="25" t="s">
        <v>143</v>
      </c>
      <c r="C63" s="45">
        <v>0.8</v>
      </c>
      <c r="D63" s="4" t="s">
        <v>144</v>
      </c>
      <c r="E63" s="6" t="s">
        <v>145</v>
      </c>
      <c r="F63" s="4"/>
      <c r="G63" s="4"/>
      <c r="H63" s="4"/>
      <c r="I63" s="4"/>
      <c r="J63" s="4"/>
      <c r="K63" s="4"/>
    </row>
    <row r="64" spans="1:11" ht="15.75" customHeight="1">
      <c r="A64" s="4"/>
      <c r="B64" s="25" t="s">
        <v>146</v>
      </c>
      <c r="C64" s="45">
        <v>150</v>
      </c>
      <c r="D64" s="4" t="s">
        <v>86</v>
      </c>
      <c r="E64" s="6" t="s">
        <v>147</v>
      </c>
      <c r="F64" s="4"/>
      <c r="G64" s="4"/>
      <c r="H64" s="4"/>
      <c r="I64" s="4"/>
      <c r="J64" s="4"/>
      <c r="K64" s="4"/>
    </row>
    <row r="65" spans="1:11" ht="15.75" customHeight="1">
      <c r="A65" s="4"/>
      <c r="B65" s="25" t="s">
        <v>148</v>
      </c>
      <c r="C65" s="45">
        <v>8.61</v>
      </c>
      <c r="D65" s="4" t="s">
        <v>149</v>
      </c>
      <c r="E65" s="6" t="s">
        <v>150</v>
      </c>
      <c r="F65" s="4"/>
      <c r="G65" s="4"/>
      <c r="H65" s="4"/>
      <c r="I65" s="4"/>
      <c r="J65" s="4"/>
      <c r="K65" s="4"/>
    </row>
    <row r="66" spans="1:11" ht="15.75" customHeight="1">
      <c r="A66" s="4"/>
      <c r="B66" s="25" t="s">
        <v>151</v>
      </c>
      <c r="C66" s="45">
        <v>22.9</v>
      </c>
      <c r="D66" s="4" t="s">
        <v>92</v>
      </c>
      <c r="E66" s="6" t="s">
        <v>152</v>
      </c>
      <c r="F66" s="4"/>
      <c r="G66" s="4"/>
      <c r="H66" s="4"/>
      <c r="I66" s="4"/>
      <c r="J66" s="4"/>
      <c r="K66" s="4"/>
    </row>
    <row r="67" spans="1:11" ht="15.75" customHeight="1">
      <c r="A67" s="4"/>
      <c r="B67" s="25" t="s">
        <v>153</v>
      </c>
      <c r="C67" s="45">
        <v>18.5</v>
      </c>
      <c r="D67" s="4"/>
      <c r="E67" s="4"/>
      <c r="F67" s="4"/>
      <c r="G67" s="4"/>
      <c r="H67" s="4"/>
      <c r="I67" s="4"/>
      <c r="J67" s="4"/>
      <c r="K67" s="4"/>
    </row>
    <row r="68" spans="1:11" ht="15.75" customHeight="1">
      <c r="A68" s="4"/>
      <c r="B68" s="25" t="s">
        <v>154</v>
      </c>
      <c r="C68" s="188">
        <f>1000*H27/(C62*30*C63)</f>
        <v>938.12877263581493</v>
      </c>
      <c r="D68" s="4" t="s">
        <v>86</v>
      </c>
      <c r="E68" s="4"/>
      <c r="F68" s="4"/>
      <c r="G68" s="4"/>
      <c r="H68" s="4"/>
      <c r="I68" s="4"/>
      <c r="J68" s="4"/>
      <c r="K68" s="4"/>
    </row>
    <row r="69" spans="1:11" ht="15.75" customHeight="1">
      <c r="A69" s="4"/>
      <c r="B69" s="25" t="s">
        <v>155</v>
      </c>
      <c r="C69" s="188">
        <f>ROUND(C68/C64,0)</f>
        <v>6</v>
      </c>
      <c r="D69" s="4"/>
      <c r="E69" s="4"/>
      <c r="F69" s="4"/>
      <c r="G69" s="4"/>
      <c r="H69" s="4"/>
      <c r="I69" s="4"/>
      <c r="J69" s="4"/>
      <c r="K69" s="4"/>
    </row>
    <row r="70" spans="1:11" ht="15.75" customHeight="1">
      <c r="A70" s="4"/>
      <c r="B70" s="25" t="s">
        <v>156</v>
      </c>
      <c r="C70" s="188">
        <f>C69*C64</f>
        <v>900</v>
      </c>
      <c r="D70" s="4" t="s">
        <v>86</v>
      </c>
      <c r="E70" s="4"/>
      <c r="F70" s="4"/>
      <c r="G70" s="4"/>
      <c r="H70" s="4"/>
      <c r="I70" s="4"/>
      <c r="J70" s="4"/>
      <c r="K70" s="4"/>
    </row>
    <row r="71" spans="1:11" ht="15.75" customHeight="1">
      <c r="A71" s="4"/>
      <c r="B71" s="25" t="s">
        <v>157</v>
      </c>
      <c r="C71" s="189">
        <f>C50</f>
        <v>2</v>
      </c>
      <c r="D71" s="4"/>
      <c r="E71" s="4"/>
      <c r="F71" s="4"/>
      <c r="G71" s="4"/>
      <c r="H71" s="4"/>
      <c r="I71" s="4"/>
      <c r="J71" s="4"/>
      <c r="K71" s="4"/>
    </row>
    <row r="72" spans="1:11" ht="15.75" customHeight="1">
      <c r="A72" s="4"/>
      <c r="B72" s="25" t="s">
        <v>158</v>
      </c>
      <c r="C72" s="189">
        <f>C69/2</f>
        <v>3</v>
      </c>
      <c r="E72" s="4"/>
      <c r="F72" s="4"/>
      <c r="G72" s="4"/>
      <c r="H72" s="4"/>
      <c r="I72" s="4"/>
      <c r="J72" s="4"/>
      <c r="K72" s="4"/>
    </row>
    <row r="73" spans="1:11" ht="15.75" customHeight="1">
      <c r="A73" s="4"/>
      <c r="B73" s="25" t="s">
        <v>159</v>
      </c>
      <c r="C73" s="189">
        <f>C71*C67</f>
        <v>37</v>
      </c>
      <c r="D73" s="4"/>
      <c r="E73" s="4"/>
      <c r="F73" s="4"/>
      <c r="G73" s="4"/>
      <c r="H73" s="4"/>
      <c r="I73" s="4"/>
      <c r="J73" s="4"/>
      <c r="K73" s="4"/>
    </row>
    <row r="74" spans="1:11" ht="15.75" customHeight="1">
      <c r="A74" s="4"/>
      <c r="B74" s="25" t="s">
        <v>160</v>
      </c>
      <c r="C74" s="189">
        <f>C66*C71</f>
        <v>45.8</v>
      </c>
      <c r="D74" s="4"/>
      <c r="E74" s="4"/>
      <c r="F74" s="4"/>
      <c r="G74" s="4"/>
      <c r="H74" s="4"/>
      <c r="I74" s="4"/>
      <c r="J74" s="4"/>
      <c r="K74" s="4"/>
    </row>
    <row r="75" spans="1:11" ht="15.75" customHeight="1">
      <c r="A75" s="4"/>
      <c r="B75" s="25" t="s">
        <v>161</v>
      </c>
      <c r="C75" s="189">
        <f>C72*C65</f>
        <v>25.83</v>
      </c>
      <c r="D75" s="4"/>
      <c r="E75" s="4"/>
      <c r="F75" s="4"/>
      <c r="G75" s="4"/>
      <c r="H75" s="4"/>
      <c r="I75" s="4"/>
      <c r="J75" s="4"/>
      <c r="K75" s="4"/>
    </row>
    <row r="76" spans="1:11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ht="15.75" customHeight="1">
      <c r="A77" s="4"/>
      <c r="B77" s="25" t="s">
        <v>162</v>
      </c>
      <c r="C77" s="26"/>
      <c r="D77" s="26"/>
      <c r="E77" s="26"/>
      <c r="F77" s="26"/>
      <c r="G77" s="26"/>
      <c r="H77" s="4"/>
      <c r="I77" s="4"/>
      <c r="J77" s="4"/>
      <c r="K77" s="4"/>
    </row>
    <row r="78" spans="1:11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ht="15.75" customHeight="1">
      <c r="A79" s="4"/>
      <c r="B79" s="54" t="s">
        <v>163</v>
      </c>
      <c r="C79" s="45">
        <v>1.25</v>
      </c>
      <c r="D79" s="6" t="s">
        <v>164</v>
      </c>
      <c r="E79" s="4"/>
      <c r="F79" s="4"/>
      <c r="G79" s="4"/>
      <c r="H79" s="4"/>
      <c r="I79" s="4"/>
      <c r="J79" s="4"/>
      <c r="K79" s="4"/>
    </row>
    <row r="80" spans="1:11" ht="15.75" customHeight="1">
      <c r="A80" s="4"/>
      <c r="B80" s="25" t="s">
        <v>165</v>
      </c>
      <c r="C80" s="189">
        <f>C49</f>
        <v>24</v>
      </c>
      <c r="D80" s="4" t="s">
        <v>92</v>
      </c>
      <c r="E80" s="191" t="s">
        <v>256</v>
      </c>
      <c r="F80" s="4"/>
      <c r="G80" s="4"/>
      <c r="H80" s="4"/>
      <c r="I80" s="4"/>
      <c r="J80" s="4"/>
      <c r="K80" s="4"/>
    </row>
    <row r="81" spans="1:11" ht="15.75" customHeight="1">
      <c r="A81" s="4"/>
      <c r="B81" s="25" t="s">
        <v>166</v>
      </c>
      <c r="C81" s="190">
        <f>C75*C79</f>
        <v>32.287499999999994</v>
      </c>
      <c r="D81" s="4" t="s">
        <v>149</v>
      </c>
      <c r="E81" s="191" t="s">
        <v>255</v>
      </c>
      <c r="F81" s="4"/>
      <c r="G81" s="4"/>
      <c r="H81" s="4"/>
      <c r="I81" s="4"/>
      <c r="J81" s="4"/>
      <c r="K81" s="4"/>
    </row>
    <row r="82" spans="1:11" ht="15.75" customHeight="1">
      <c r="A82" s="4"/>
      <c r="B82" s="4"/>
      <c r="C82" s="4"/>
      <c r="D82" s="4"/>
      <c r="E82" s="6" t="s">
        <v>167</v>
      </c>
      <c r="F82" s="4"/>
      <c r="G82" s="4"/>
      <c r="H82" s="4"/>
      <c r="I82" s="4"/>
      <c r="J82" s="4"/>
      <c r="K82" s="4"/>
    </row>
    <row r="83" spans="1:11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ht="15.75" customHeight="1">
      <c r="A84" s="4"/>
      <c r="B84" s="25" t="s">
        <v>168</v>
      </c>
      <c r="C84" s="26"/>
      <c r="D84" s="26"/>
      <c r="E84" s="26"/>
      <c r="F84" s="26"/>
      <c r="G84" s="26"/>
      <c r="H84" s="4"/>
      <c r="I84" s="4"/>
      <c r="J84" s="4"/>
      <c r="K84" s="4"/>
    </row>
    <row r="85" spans="1:11" ht="15.75" customHeight="1">
      <c r="A85" s="4"/>
      <c r="B85" s="25" t="s">
        <v>169</v>
      </c>
      <c r="C85" s="26"/>
      <c r="D85" s="26"/>
      <c r="E85" s="26"/>
      <c r="F85" s="26"/>
      <c r="G85" s="26"/>
      <c r="H85" s="4"/>
      <c r="I85" s="4"/>
      <c r="J85" s="4"/>
      <c r="K85" s="4"/>
    </row>
    <row r="86" spans="1:11" ht="15.75" customHeight="1">
      <c r="A86" s="4"/>
      <c r="B86" s="25" t="s">
        <v>170</v>
      </c>
      <c r="C86" s="26"/>
      <c r="D86" s="4"/>
      <c r="E86" s="56" t="s">
        <v>171</v>
      </c>
      <c r="F86" s="57"/>
      <c r="G86" s="57"/>
      <c r="H86" s="57"/>
      <c r="I86" s="57"/>
      <c r="J86" s="57"/>
      <c r="K86" s="57"/>
    </row>
    <row r="87" spans="1:11" ht="15.75" customHeight="1">
      <c r="A87" s="4"/>
      <c r="B87" s="25" t="s">
        <v>172</v>
      </c>
      <c r="C87" s="34">
        <f>IF(C72&gt;=3,1,0)</f>
        <v>1</v>
      </c>
      <c r="D87" s="4"/>
      <c r="E87" s="58" t="s">
        <v>173</v>
      </c>
      <c r="F87" s="4"/>
      <c r="G87" s="4"/>
      <c r="H87" s="4"/>
      <c r="I87" s="4"/>
      <c r="J87" s="4"/>
      <c r="K87" s="4"/>
    </row>
    <row r="88" spans="1:11" ht="15.75" customHeight="1">
      <c r="A88" s="4"/>
      <c r="B88" s="25" t="s">
        <v>174</v>
      </c>
      <c r="C88" s="183">
        <f>1.5*C65</f>
        <v>12.914999999999999</v>
      </c>
      <c r="D88" s="4"/>
      <c r="E88" s="58" t="s">
        <v>175</v>
      </c>
      <c r="F88" s="4"/>
      <c r="G88" s="4"/>
      <c r="H88" s="4"/>
      <c r="I88" s="4"/>
      <c r="J88" s="4"/>
      <c r="K88" s="4"/>
    </row>
    <row r="89" spans="1:11" ht="15.75" customHeight="1">
      <c r="A89" s="4"/>
      <c r="B89" s="25" t="s">
        <v>176</v>
      </c>
      <c r="C89" s="183">
        <f>2.4*C65</f>
        <v>20.663999999999998</v>
      </c>
      <c r="D89" s="4"/>
      <c r="E89" s="192" t="s">
        <v>257</v>
      </c>
      <c r="F89" s="59"/>
      <c r="G89" s="59"/>
      <c r="H89" s="59"/>
      <c r="I89" s="59"/>
      <c r="J89" s="59"/>
      <c r="K89" s="59"/>
    </row>
    <row r="90" spans="1:11" ht="15.75" customHeight="1">
      <c r="A90" s="4"/>
      <c r="B90" s="25" t="s">
        <v>177</v>
      </c>
      <c r="C90" s="183">
        <f>C66*C71</f>
        <v>45.8</v>
      </c>
      <c r="D90" s="4"/>
      <c r="E90" s="193" t="s">
        <v>258</v>
      </c>
      <c r="F90" s="4"/>
      <c r="G90" s="4"/>
      <c r="H90" s="4"/>
      <c r="I90" s="4"/>
      <c r="J90" s="4"/>
      <c r="K90" s="4"/>
    </row>
    <row r="91" spans="1:11" ht="15.75" customHeight="1">
      <c r="A91" s="4"/>
      <c r="B91" s="25" t="s">
        <v>178</v>
      </c>
      <c r="C91" s="43">
        <f>C72*2</f>
        <v>6</v>
      </c>
      <c r="D91" s="4"/>
      <c r="E91" s="6"/>
      <c r="F91" s="4"/>
      <c r="G91" s="4"/>
      <c r="H91" s="4"/>
      <c r="I91" s="4"/>
      <c r="J91" s="4"/>
      <c r="K91" s="4"/>
    </row>
    <row r="92" spans="1:11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ht="15.75" customHeight="1">
      <c r="A93" s="4"/>
      <c r="B93" s="25" t="s">
        <v>179</v>
      </c>
      <c r="C93" s="4"/>
      <c r="D93" s="4"/>
      <c r="E93" s="4"/>
      <c r="F93" s="4"/>
      <c r="G93" s="4"/>
      <c r="H93" s="4"/>
      <c r="I93" s="4"/>
      <c r="J93" s="4"/>
      <c r="K93" s="4"/>
    </row>
    <row r="94" spans="1:11" ht="15.75" customHeight="1">
      <c r="A94" s="4"/>
      <c r="B94" s="25" t="s">
        <v>180</v>
      </c>
      <c r="C94" s="45" t="s">
        <v>181</v>
      </c>
      <c r="D94" s="4"/>
      <c r="E94" s="6" t="s">
        <v>182</v>
      </c>
      <c r="F94" s="4"/>
      <c r="G94" s="4"/>
      <c r="H94" s="4"/>
      <c r="I94" s="4"/>
      <c r="J94" s="4"/>
      <c r="K94" s="4"/>
    </row>
    <row r="95" spans="1:11" ht="15.75" customHeight="1">
      <c r="A95" s="4"/>
      <c r="B95" s="25" t="s">
        <v>183</v>
      </c>
      <c r="C95" s="189">
        <f>C66*C71</f>
        <v>45.8</v>
      </c>
      <c r="D95" s="4"/>
      <c r="E95" s="6" t="s">
        <v>184</v>
      </c>
      <c r="F95" s="4"/>
      <c r="G95" s="4"/>
      <c r="H95" s="4"/>
      <c r="I95" s="4"/>
      <c r="J95" s="4"/>
      <c r="K95" s="4"/>
    </row>
    <row r="96" spans="1:11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21" ht="15.75" customHeight="1">
      <c r="A97" s="4"/>
      <c r="B97" s="25" t="s">
        <v>185</v>
      </c>
      <c r="C97" s="4"/>
      <c r="D97" s="4"/>
      <c r="E97" s="4"/>
      <c r="F97" s="4"/>
      <c r="G97" s="4"/>
      <c r="H97" s="4"/>
      <c r="I97" s="4"/>
      <c r="J97" s="4"/>
      <c r="K97" s="4"/>
    </row>
    <row r="98" spans="1:21" ht="15.75" customHeight="1">
      <c r="A98" s="4"/>
      <c r="B98" s="25" t="s">
        <v>186</v>
      </c>
      <c r="C98" s="189">
        <f>C66*C71</f>
        <v>45.8</v>
      </c>
      <c r="D98" s="4"/>
      <c r="E98" s="193" t="s">
        <v>259</v>
      </c>
      <c r="F98" s="4"/>
      <c r="G98" s="4"/>
      <c r="H98" s="4"/>
      <c r="I98" s="4"/>
      <c r="J98" s="4"/>
      <c r="K98" s="4"/>
    </row>
    <row r="99" spans="1:21" ht="15.75" customHeight="1">
      <c r="A99" s="4"/>
      <c r="B99" s="25" t="s">
        <v>187</v>
      </c>
      <c r="C99" s="190">
        <f>C75*1.25</f>
        <v>32.287499999999994</v>
      </c>
      <c r="D99" s="4"/>
      <c r="E99" s="4"/>
      <c r="F99" s="4"/>
      <c r="G99" s="4"/>
      <c r="H99" s="4"/>
      <c r="I99" s="4"/>
      <c r="J99" s="4"/>
      <c r="K99" s="4"/>
    </row>
    <row r="100" spans="1:21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21" ht="15.75" customHeight="1">
      <c r="A101" s="4"/>
      <c r="B101" s="25" t="s">
        <v>188</v>
      </c>
      <c r="C101" s="4"/>
      <c r="D101" s="4"/>
      <c r="E101" s="4"/>
      <c r="F101" s="4"/>
      <c r="G101" s="4"/>
      <c r="H101" s="4"/>
      <c r="I101" s="4"/>
      <c r="J101" s="4"/>
      <c r="K101" s="4"/>
    </row>
    <row r="102" spans="1:21" ht="15.75" customHeight="1">
      <c r="A102" s="4"/>
      <c r="B102" s="25" t="s">
        <v>189</v>
      </c>
      <c r="C102" s="189">
        <f>C49</f>
        <v>24</v>
      </c>
      <c r="D102" s="4"/>
      <c r="E102" s="6" t="s">
        <v>190</v>
      </c>
      <c r="F102" s="4"/>
      <c r="G102" s="4"/>
      <c r="H102" s="4"/>
      <c r="I102" s="4"/>
      <c r="J102" s="4"/>
      <c r="K102" s="4"/>
    </row>
    <row r="103" spans="1:21" ht="15.75" customHeight="1">
      <c r="A103" s="4"/>
      <c r="B103" s="25" t="s">
        <v>191</v>
      </c>
      <c r="C103" s="190">
        <f>1.25*E27/C49</f>
        <v>51.5625</v>
      </c>
      <c r="D103" s="195" t="s">
        <v>260</v>
      </c>
      <c r="E103" s="6" t="s">
        <v>192</v>
      </c>
      <c r="F103" s="4"/>
      <c r="G103" s="4"/>
      <c r="H103" s="4"/>
      <c r="I103" s="4"/>
      <c r="J103" s="4"/>
      <c r="K103" s="4"/>
    </row>
    <row r="104" spans="1:21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21" ht="15.75" customHeight="1">
      <c r="A105" s="4"/>
      <c r="B105" s="25" t="s">
        <v>193</v>
      </c>
      <c r="C105" s="26"/>
      <c r="D105" s="26"/>
      <c r="E105" s="26"/>
      <c r="F105" s="26"/>
      <c r="G105" s="26"/>
      <c r="H105" s="4"/>
      <c r="I105" s="4"/>
      <c r="J105" s="4"/>
      <c r="K105" s="4"/>
    </row>
    <row r="106" spans="1:21" ht="15.75" customHeight="1">
      <c r="A106" s="4"/>
      <c r="B106" s="25" t="s">
        <v>194</v>
      </c>
      <c r="C106" s="4"/>
      <c r="D106" s="4"/>
      <c r="E106" s="4"/>
      <c r="F106" s="4"/>
      <c r="G106" s="4"/>
      <c r="H106" s="4"/>
      <c r="I106" s="4"/>
      <c r="J106" s="4"/>
      <c r="K106" s="4"/>
    </row>
    <row r="107" spans="1:21" ht="14.25" customHeight="1">
      <c r="A107" s="4"/>
      <c r="B107" s="25" t="s">
        <v>180</v>
      </c>
      <c r="C107" s="45" t="s">
        <v>181</v>
      </c>
      <c r="D107" s="4"/>
      <c r="E107" s="4"/>
      <c r="F107" s="4"/>
      <c r="G107" s="4"/>
      <c r="H107" s="4"/>
      <c r="I107" s="4"/>
      <c r="J107" s="4"/>
      <c r="K107" s="4"/>
      <c r="L107" s="60"/>
      <c r="M107" s="60"/>
      <c r="N107" s="60"/>
      <c r="O107" s="60"/>
      <c r="P107" s="60"/>
      <c r="Q107" s="60"/>
      <c r="R107" s="60"/>
      <c r="S107" s="60"/>
      <c r="T107" s="60"/>
      <c r="U107" s="60"/>
    </row>
    <row r="108" spans="1:21" ht="15.75" customHeight="1">
      <c r="A108" s="4"/>
      <c r="B108" s="25" t="s">
        <v>195</v>
      </c>
      <c r="C108" s="189">
        <f>IF(C37=127,1,2)</f>
        <v>1</v>
      </c>
      <c r="D108" s="4"/>
      <c r="E108" s="4"/>
      <c r="F108" s="4"/>
      <c r="G108" s="4"/>
      <c r="H108" s="4"/>
      <c r="I108" s="4"/>
      <c r="J108" s="4"/>
      <c r="K108" s="4"/>
      <c r="L108" s="60"/>
      <c r="M108" s="60"/>
      <c r="N108" s="60"/>
      <c r="O108" s="60"/>
      <c r="P108" s="60"/>
      <c r="Q108" s="60"/>
      <c r="R108" s="60"/>
      <c r="S108" s="60"/>
      <c r="T108" s="60"/>
      <c r="U108" s="60"/>
    </row>
    <row r="109" spans="1:21" ht="15.75" customHeight="1">
      <c r="A109" s="4"/>
      <c r="B109" s="25" t="s">
        <v>196</v>
      </c>
      <c r="C109" s="188">
        <f>C37</f>
        <v>127</v>
      </c>
      <c r="D109" s="4"/>
      <c r="E109" s="4"/>
      <c r="F109" s="4"/>
      <c r="G109" s="4"/>
      <c r="H109" s="4"/>
      <c r="I109" s="4"/>
      <c r="J109" s="4"/>
      <c r="K109" s="4"/>
      <c r="L109" s="60"/>
      <c r="M109" s="60"/>
      <c r="N109" s="60"/>
      <c r="O109" s="60"/>
      <c r="P109" s="60"/>
      <c r="Q109" s="60"/>
      <c r="R109" s="60"/>
      <c r="S109" s="60"/>
      <c r="T109" s="60"/>
      <c r="U109" s="60"/>
    </row>
    <row r="110" spans="1:21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60"/>
      <c r="M110" s="60"/>
      <c r="N110" s="60"/>
      <c r="O110" s="60"/>
      <c r="P110" s="60"/>
      <c r="Q110" s="60"/>
      <c r="R110" s="60"/>
      <c r="S110" s="60"/>
      <c r="T110" s="60"/>
      <c r="U110" s="60"/>
    </row>
    <row r="111" spans="1:21" ht="15.75" customHeight="1">
      <c r="A111" s="4"/>
      <c r="B111" s="25" t="s">
        <v>197</v>
      </c>
      <c r="C111" s="4"/>
      <c r="D111" s="4"/>
      <c r="E111" s="4"/>
      <c r="F111" s="4"/>
      <c r="G111" s="4"/>
      <c r="H111" s="4"/>
      <c r="I111" s="4"/>
      <c r="J111" s="4"/>
      <c r="K111" s="4"/>
      <c r="L111" s="60"/>
      <c r="M111" s="60"/>
      <c r="N111" s="60"/>
      <c r="O111" s="60"/>
      <c r="P111" s="60"/>
      <c r="Q111" s="60"/>
      <c r="R111" s="60"/>
      <c r="S111" s="60"/>
      <c r="T111" s="60"/>
      <c r="U111" s="60"/>
    </row>
    <row r="112" spans="1:21" ht="15.75" customHeight="1">
      <c r="A112" s="4"/>
      <c r="B112" s="25" t="s">
        <v>195</v>
      </c>
      <c r="C112" s="197">
        <f>IF(C37=127,1,2)</f>
        <v>1</v>
      </c>
      <c r="D112" s="4"/>
      <c r="E112" s="4"/>
      <c r="F112" s="4"/>
      <c r="G112" s="4"/>
      <c r="H112" s="4"/>
      <c r="I112" s="4"/>
      <c r="J112" s="4"/>
      <c r="K112" s="4"/>
      <c r="L112" s="60"/>
      <c r="M112" s="60"/>
      <c r="N112" s="60"/>
      <c r="O112" s="60"/>
      <c r="P112" s="60"/>
      <c r="Q112" s="60"/>
      <c r="R112" s="60"/>
      <c r="S112" s="60"/>
      <c r="T112" s="60"/>
      <c r="U112" s="60"/>
    </row>
    <row r="113" spans="1:26" ht="16.5" customHeight="1">
      <c r="A113" s="4"/>
      <c r="B113" s="25" t="s">
        <v>198</v>
      </c>
      <c r="C113" s="196">
        <f>C109</f>
        <v>127</v>
      </c>
      <c r="D113" s="4"/>
      <c r="E113" s="6" t="s">
        <v>199</v>
      </c>
      <c r="F113" s="4"/>
      <c r="G113" s="4"/>
      <c r="H113" s="4"/>
      <c r="I113" s="4"/>
      <c r="J113" s="4"/>
      <c r="K113" s="4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</row>
    <row r="114" spans="1:26" ht="14.25" customHeight="1">
      <c r="A114" s="4"/>
      <c r="B114" s="25" t="s">
        <v>191</v>
      </c>
      <c r="C114" s="190">
        <f>1.25*E27/(C109*0.9)</f>
        <v>10.826771653543307</v>
      </c>
      <c r="D114" s="4"/>
      <c r="E114" s="198" t="s">
        <v>261</v>
      </c>
      <c r="F114" s="4"/>
      <c r="G114" s="4"/>
      <c r="H114" s="4"/>
      <c r="I114" s="4"/>
      <c r="J114" s="4"/>
      <c r="K114" s="4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</row>
    <row r="115" spans="1:26" ht="14.25" customHeight="1">
      <c r="A115" s="60"/>
      <c r="B115" s="61" t="s">
        <v>200</v>
      </c>
      <c r="C115" s="62">
        <v>0.7</v>
      </c>
      <c r="D115" s="63" t="s">
        <v>201</v>
      </c>
      <c r="E115" s="22" t="s">
        <v>202</v>
      </c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</row>
    <row r="116" spans="1:26" ht="19.5" customHeight="1">
      <c r="A116" s="60"/>
      <c r="D116" s="64" t="s">
        <v>203</v>
      </c>
      <c r="E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</row>
    <row r="117" spans="1:26" ht="17.25" customHeight="1">
      <c r="A117" s="65"/>
      <c r="B117" s="66"/>
      <c r="C117" s="67"/>
      <c r="D117" s="60"/>
      <c r="E117" s="68"/>
      <c r="F117" s="65"/>
      <c r="G117" s="69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</row>
    <row r="118" spans="1:26" ht="18.75" customHeight="1">
      <c r="A118" s="65"/>
      <c r="B118" s="70" t="s">
        <v>204</v>
      </c>
      <c r="C118" s="71"/>
      <c r="D118" s="72"/>
      <c r="E118" s="73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</row>
    <row r="119" spans="1:26" ht="15.75" customHeight="1">
      <c r="A119" s="65"/>
      <c r="B119" s="74" t="s">
        <v>205</v>
      </c>
      <c r="C119" s="75" t="s">
        <v>206</v>
      </c>
      <c r="D119" s="75" t="s">
        <v>207</v>
      </c>
      <c r="E119" s="75" t="s">
        <v>208</v>
      </c>
      <c r="F119" s="76" t="s">
        <v>209</v>
      </c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</row>
    <row r="120" spans="1:26" ht="15.75" customHeight="1">
      <c r="A120" s="65"/>
      <c r="B120" s="77" t="s">
        <v>210</v>
      </c>
      <c r="C120" s="78">
        <f>C69</f>
        <v>6</v>
      </c>
      <c r="D120" s="79">
        <v>379</v>
      </c>
      <c r="E120" s="80">
        <f t="shared" ref="E120:E128" si="2">D120*C120</f>
        <v>2274</v>
      </c>
      <c r="F120" s="81">
        <f t="shared" ref="F120:F128" si="3">E120/$E$132</f>
        <v>0.13433285483899554</v>
      </c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</row>
    <row r="121" spans="1:26" ht="15.75" customHeight="1">
      <c r="A121" s="65"/>
      <c r="B121" s="77" t="s">
        <v>211</v>
      </c>
      <c r="C121" s="82">
        <v>1</v>
      </c>
      <c r="D121" s="79">
        <v>1910</v>
      </c>
      <c r="E121" s="80">
        <f t="shared" si="2"/>
        <v>1910</v>
      </c>
      <c r="F121" s="81">
        <f t="shared" si="3"/>
        <v>0.11283014632474998</v>
      </c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</row>
    <row r="122" spans="1:26" ht="15.75" customHeight="1">
      <c r="A122" s="65"/>
      <c r="B122" s="77" t="s">
        <v>212</v>
      </c>
      <c r="C122" s="82">
        <v>1</v>
      </c>
      <c r="D122" s="79">
        <v>769</v>
      </c>
      <c r="E122" s="80">
        <f t="shared" si="2"/>
        <v>769</v>
      </c>
      <c r="F122" s="81">
        <f t="shared" si="3"/>
        <v>4.5427425405095673E-2</v>
      </c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</row>
    <row r="123" spans="1:26" ht="15.75" customHeight="1">
      <c r="A123" s="65"/>
      <c r="B123" s="77" t="s">
        <v>213</v>
      </c>
      <c r="C123" s="78">
        <v>10</v>
      </c>
      <c r="D123" s="79">
        <v>991.9</v>
      </c>
      <c r="E123" s="80">
        <f t="shared" si="2"/>
        <v>9919</v>
      </c>
      <c r="F123" s="81">
        <f t="shared" si="3"/>
        <v>0.58594880701319119</v>
      </c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</row>
    <row r="124" spans="1:26" ht="15.75" customHeight="1">
      <c r="A124" s="65"/>
      <c r="B124" s="77" t="s">
        <v>214</v>
      </c>
      <c r="C124" s="82">
        <v>1</v>
      </c>
      <c r="D124" s="79">
        <v>300</v>
      </c>
      <c r="E124" s="80">
        <f t="shared" si="2"/>
        <v>300</v>
      </c>
      <c r="F124" s="81">
        <f t="shared" si="3"/>
        <v>1.7722012511740836E-2</v>
      </c>
      <c r="G124" s="65"/>
      <c r="H124" s="83" t="s">
        <v>215</v>
      </c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</row>
    <row r="125" spans="1:26" ht="15.75" customHeight="1">
      <c r="A125" s="65"/>
      <c r="B125" s="77" t="s">
        <v>216</v>
      </c>
      <c r="C125" s="82">
        <v>1</v>
      </c>
      <c r="D125" s="79">
        <v>200</v>
      </c>
      <c r="E125" s="80">
        <f t="shared" si="2"/>
        <v>200</v>
      </c>
      <c r="F125" s="81">
        <f t="shared" si="3"/>
        <v>1.1814675007827223E-2</v>
      </c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</row>
    <row r="126" spans="1:26" ht="15.75" customHeight="1">
      <c r="A126" s="65"/>
      <c r="B126" s="77" t="s">
        <v>217</v>
      </c>
      <c r="C126" s="82">
        <v>1</v>
      </c>
      <c r="D126" s="79">
        <v>150</v>
      </c>
      <c r="E126" s="80">
        <f t="shared" si="2"/>
        <v>150</v>
      </c>
      <c r="F126" s="81">
        <f t="shared" si="3"/>
        <v>8.861006255870418E-3</v>
      </c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</row>
    <row r="127" spans="1:26" ht="15.75" customHeight="1">
      <c r="A127" s="65"/>
      <c r="B127" s="77" t="s">
        <v>218</v>
      </c>
      <c r="C127" s="84">
        <v>6</v>
      </c>
      <c r="D127" s="79">
        <v>15</v>
      </c>
      <c r="E127" s="80">
        <f t="shared" si="2"/>
        <v>90</v>
      </c>
      <c r="F127" s="81">
        <f t="shared" si="3"/>
        <v>5.3166037535222503E-3</v>
      </c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</row>
    <row r="128" spans="1:26" ht="15.75" customHeight="1">
      <c r="A128" s="65"/>
      <c r="B128" s="85" t="s">
        <v>219</v>
      </c>
      <c r="C128" s="78">
        <v>6</v>
      </c>
      <c r="D128" s="79">
        <v>85</v>
      </c>
      <c r="E128" s="80">
        <f t="shared" si="2"/>
        <v>510</v>
      </c>
      <c r="F128" s="81">
        <f t="shared" si="3"/>
        <v>3.0127421269959421E-2</v>
      </c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</row>
    <row r="129" spans="1:26" ht="15.75" customHeight="1">
      <c r="A129" s="65"/>
      <c r="B129" s="86"/>
      <c r="C129" s="66" t="s">
        <v>220</v>
      </c>
      <c r="D129" s="86"/>
      <c r="E129" s="68">
        <f>SUM(E120:E128)</f>
        <v>16122</v>
      </c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</row>
    <row r="130" spans="1:26" ht="15.75" customHeight="1">
      <c r="A130" s="65"/>
      <c r="B130" s="86"/>
      <c r="C130" s="87" t="s">
        <v>221</v>
      </c>
      <c r="D130" s="88"/>
      <c r="E130" s="68">
        <f>0.05*E129</f>
        <v>806.1</v>
      </c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</row>
    <row r="131" spans="1:26" ht="15.75" customHeight="1">
      <c r="A131" s="65"/>
      <c r="B131" s="87"/>
      <c r="C131" s="87" t="s">
        <v>222</v>
      </c>
      <c r="D131" s="88"/>
      <c r="E131" s="60">
        <v>0</v>
      </c>
      <c r="F131" s="89" t="s">
        <v>223</v>
      </c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</row>
    <row r="132" spans="1:26" ht="14.25" customHeight="1">
      <c r="A132" s="65"/>
      <c r="B132" s="66" t="s">
        <v>224</v>
      </c>
      <c r="C132" s="67"/>
      <c r="D132" s="67"/>
      <c r="E132" s="90">
        <f>E129+E130+E131</f>
        <v>16928.099999999999</v>
      </c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</row>
    <row r="133" spans="1:26" ht="21" customHeight="1">
      <c r="A133" s="60"/>
      <c r="B133" s="70" t="s">
        <v>225</v>
      </c>
      <c r="C133" s="91"/>
      <c r="D133" s="72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</row>
    <row r="134" spans="1:26" ht="14.25" customHeight="1">
      <c r="A134" s="60"/>
      <c r="B134" s="66" t="s">
        <v>226</v>
      </c>
      <c r="C134" s="92">
        <f>E132/C70</f>
        <v>18.808999999999997</v>
      </c>
      <c r="D134" s="93" t="s">
        <v>227</v>
      </c>
      <c r="E134" s="93" t="s">
        <v>228</v>
      </c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</row>
    <row r="135" spans="1:26" ht="14.25" customHeight="1">
      <c r="A135" s="60"/>
      <c r="B135" s="60"/>
      <c r="C135" s="67"/>
      <c r="D135" s="67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</row>
    <row r="136" spans="1:26" ht="14.25" customHeight="1">
      <c r="A136" s="60"/>
      <c r="B136" s="60"/>
      <c r="C136" s="67"/>
      <c r="D136" s="94"/>
      <c r="E136" s="68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</row>
    <row r="137" spans="1:26" ht="14.25" customHeight="1">
      <c r="A137" s="60"/>
      <c r="B137" s="85" t="s">
        <v>229</v>
      </c>
      <c r="C137" s="95"/>
      <c r="D137" s="96"/>
      <c r="E137" s="68"/>
      <c r="F137" s="97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</row>
    <row r="138" spans="1:26" ht="14.25" customHeight="1">
      <c r="A138" s="60"/>
      <c r="B138" s="60"/>
      <c r="C138" s="60"/>
      <c r="D138" s="68"/>
      <c r="E138" s="68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</row>
    <row r="139" spans="1:26" ht="14.25" customHeight="1">
      <c r="A139" s="60"/>
      <c r="B139" s="60"/>
      <c r="C139" s="60"/>
      <c r="D139" s="68"/>
      <c r="E139" s="68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</row>
    <row r="140" spans="1:26" ht="14.25" customHeight="1">
      <c r="A140" s="60"/>
      <c r="B140" s="87"/>
      <c r="C140" s="98"/>
      <c r="D140" s="68"/>
      <c r="E140" s="88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</row>
    <row r="141" spans="1:26" ht="14.25" customHeight="1">
      <c r="A141" s="60"/>
      <c r="B141" s="60"/>
      <c r="C141" s="68"/>
      <c r="D141" s="68"/>
      <c r="E141" s="68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</row>
    <row r="142" spans="1:26" ht="14.25" customHeight="1">
      <c r="A142" s="60"/>
      <c r="B142" s="60"/>
      <c r="C142" s="99"/>
      <c r="D142" s="88"/>
      <c r="E142" s="68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</row>
    <row r="143" spans="1:26" ht="14.25" customHeight="1">
      <c r="A143" s="60"/>
      <c r="B143" s="60"/>
      <c r="C143" s="68"/>
      <c r="D143" s="68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</row>
    <row r="144" spans="1:26" ht="14.25" customHeight="1">
      <c r="A144" s="60"/>
      <c r="B144" s="60"/>
      <c r="C144" s="99"/>
      <c r="D144" s="68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</row>
    <row r="145" spans="1:26" ht="14.25" customHeight="1">
      <c r="A145" s="60"/>
      <c r="B145" s="65"/>
      <c r="C145" s="65"/>
      <c r="D145" s="65"/>
      <c r="E145" s="65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</row>
    <row r="146" spans="1:26" ht="14.25" customHeight="1">
      <c r="A146" s="60"/>
      <c r="B146" s="65"/>
      <c r="C146" s="65"/>
      <c r="D146" s="65"/>
      <c r="E146" s="65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</row>
    <row r="147" spans="1:26" ht="14.25" customHeight="1">
      <c r="A147" s="60"/>
      <c r="B147" s="65"/>
      <c r="C147" s="65"/>
      <c r="D147" s="65"/>
      <c r="E147" s="65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</row>
    <row r="148" spans="1:26" ht="14.25" customHeight="1">
      <c r="A148" s="60"/>
      <c r="B148" s="65"/>
      <c r="C148" s="65"/>
      <c r="D148" s="65"/>
      <c r="E148" s="65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</row>
    <row r="149" spans="1:26" ht="14.25" customHeight="1">
      <c r="A149" s="60"/>
      <c r="B149" s="65"/>
      <c r="C149" s="65"/>
      <c r="D149" s="65"/>
      <c r="E149" s="65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</row>
    <row r="150" spans="1:26" ht="14.25" customHeight="1">
      <c r="A150" s="60"/>
      <c r="B150" s="65"/>
      <c r="C150" s="65"/>
      <c r="D150" s="65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</row>
    <row r="151" spans="1:26" ht="14.25" customHeight="1">
      <c r="A151" s="60"/>
      <c r="B151" s="65"/>
      <c r="C151" s="65"/>
      <c r="D151" s="65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</row>
    <row r="152" spans="1:26" ht="14.25" customHeight="1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</row>
    <row r="153" spans="1:26" ht="14.25" customHeight="1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</row>
    <row r="154" spans="1:26" ht="14.25" customHeight="1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</row>
    <row r="155" spans="1:26" ht="14.25" customHeight="1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</row>
    <row r="156" spans="1:26" ht="14.25" customHeight="1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</row>
    <row r="157" spans="1:26" ht="14.25" customHeight="1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</row>
    <row r="158" spans="1:26" ht="14.25" customHeight="1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</row>
    <row r="159" spans="1:26" ht="14.25" customHeight="1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</row>
    <row r="160" spans="1:26" ht="14.25" customHeight="1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</row>
    <row r="161" spans="1:26" ht="14.25" customHeight="1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</row>
    <row r="162" spans="1:26" ht="14.25" customHeight="1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</row>
    <row r="163" spans="1:26" ht="14.25" customHeight="1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</row>
    <row r="164" spans="1:26" ht="14.25" customHeight="1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</row>
    <row r="165" spans="1:26" ht="14.25" customHeight="1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</row>
    <row r="166" spans="1:26" ht="14.25" customHeight="1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</row>
    <row r="167" spans="1:26" ht="14.25" customHeight="1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</row>
    <row r="168" spans="1:26" ht="14.25" customHeight="1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</row>
    <row r="169" spans="1:26" ht="14.25" customHeight="1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</row>
    <row r="170" spans="1:26" ht="14.25" customHeight="1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</row>
    <row r="171" spans="1:26" ht="14.25" customHeight="1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</row>
    <row r="172" spans="1:26" ht="14.25" customHeight="1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</row>
    <row r="173" spans="1:26" ht="14.25" customHeight="1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</row>
    <row r="174" spans="1:26" ht="14.25" customHeight="1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</row>
    <row r="175" spans="1:26" ht="14.25" customHeight="1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</row>
    <row r="176" spans="1:26" ht="14.25" customHeight="1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</row>
    <row r="177" spans="1:26" ht="14.25" customHeight="1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</row>
    <row r="178" spans="1:26" ht="14.25" customHeight="1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</row>
    <row r="179" spans="1:26" ht="14.25" customHeight="1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</row>
    <row r="180" spans="1:26" ht="14.25" customHeight="1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</row>
    <row r="181" spans="1:26" ht="14.25" customHeight="1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</row>
    <row r="182" spans="1:26" ht="14.25" customHeight="1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</row>
    <row r="183" spans="1:26" ht="14.25" customHeight="1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</row>
    <row r="184" spans="1:26" ht="14.25" customHeight="1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</row>
    <row r="185" spans="1:26" ht="14.25" customHeight="1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</row>
    <row r="186" spans="1:26" ht="14.25" customHeight="1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</row>
    <row r="187" spans="1:26" ht="14.25" customHeight="1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</row>
    <row r="188" spans="1:26" ht="14.25" customHeight="1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</row>
    <row r="189" spans="1:26" ht="14.25" customHeight="1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</row>
    <row r="190" spans="1:26" ht="14.25" customHeight="1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</row>
    <row r="191" spans="1:26" ht="14.25" customHeight="1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</row>
    <row r="192" spans="1:26" ht="14.25" customHeight="1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</row>
    <row r="193" spans="1:26" ht="14.25" customHeight="1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</row>
    <row r="194" spans="1:26" ht="14.25" customHeight="1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</row>
    <row r="195" spans="1:26" ht="14.25" customHeight="1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</row>
    <row r="196" spans="1:26" ht="14.25" customHeight="1">
      <c r="A196" s="60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</row>
    <row r="197" spans="1:26" ht="14.25" customHeight="1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</row>
    <row r="198" spans="1:26" ht="14.25" customHeight="1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</row>
    <row r="199" spans="1:26" ht="14.25" customHeight="1">
      <c r="A199" s="60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</row>
    <row r="200" spans="1:26" ht="14.25" customHeight="1">
      <c r="A200" s="60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</row>
    <row r="201" spans="1:26" ht="14.25" customHeight="1">
      <c r="A201" s="60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</row>
    <row r="202" spans="1:26" ht="14.25" customHeight="1">
      <c r="A202" s="60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</row>
    <row r="203" spans="1:26" ht="14.25" customHeight="1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</row>
    <row r="204" spans="1:26" ht="14.25" customHeight="1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</row>
    <row r="205" spans="1:26" ht="14.25" customHeight="1">
      <c r="A205" s="60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</row>
    <row r="206" spans="1:26" ht="14.25" customHeight="1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</row>
    <row r="207" spans="1:26" ht="14.25" customHeight="1">
      <c r="A207" s="60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</row>
    <row r="208" spans="1:26" ht="14.25" customHeight="1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</row>
    <row r="209" spans="1:26" ht="14.25" customHeight="1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</row>
    <row r="210" spans="1:26" ht="14.25" customHeight="1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</row>
    <row r="211" spans="1:26" ht="14.25" customHeight="1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</row>
    <row r="212" spans="1:26" ht="14.25" customHeight="1">
      <c r="A212" s="60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</row>
    <row r="213" spans="1:26" ht="14.25" customHeight="1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</row>
    <row r="214" spans="1:26" ht="14.25" customHeight="1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</row>
    <row r="215" spans="1:26" ht="14.25" customHeight="1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</row>
    <row r="216" spans="1:26" ht="14.25" customHeight="1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</row>
    <row r="217" spans="1:26" ht="14.25" customHeight="1">
      <c r="A217" s="60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</row>
    <row r="218" spans="1:26" ht="14.25" customHeight="1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</row>
    <row r="219" spans="1:26" ht="14.25" customHeight="1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</row>
    <row r="220" spans="1:26" ht="14.25" customHeight="1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</row>
    <row r="221" spans="1:26" ht="14.25" customHeight="1">
      <c r="A221" s="60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</row>
    <row r="222" spans="1:26" ht="14.25" customHeight="1">
      <c r="A222" s="60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</row>
    <row r="223" spans="1:26" ht="14.25" customHeight="1">
      <c r="A223" s="60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</row>
    <row r="224" spans="1:26" ht="14.25" customHeight="1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</row>
    <row r="225" spans="1:26" ht="14.25" customHeight="1">
      <c r="A225" s="60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</row>
    <row r="226" spans="1:26" ht="14.25" customHeight="1">
      <c r="A226" s="60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</row>
    <row r="227" spans="1:26" ht="14.25" customHeight="1">
      <c r="A227" s="60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</row>
    <row r="228" spans="1:26" ht="14.25" customHeight="1">
      <c r="A228" s="60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</row>
    <row r="229" spans="1:26" ht="14.25" customHeight="1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</row>
    <row r="230" spans="1:26" ht="14.25" customHeight="1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</row>
    <row r="231" spans="1:26" ht="14.25" customHeight="1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</row>
    <row r="232" spans="1:26" ht="14.25" customHeight="1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</row>
    <row r="233" spans="1:26" ht="14.25" customHeight="1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</row>
    <row r="234" spans="1:26" ht="14.25" customHeight="1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</row>
    <row r="235" spans="1:26" ht="14.25" customHeight="1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</row>
    <row r="236" spans="1:26" ht="14.25" customHeight="1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</row>
    <row r="237" spans="1:26" ht="14.25" customHeight="1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</row>
    <row r="238" spans="1:26" ht="14.25" customHeight="1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</row>
    <row r="239" spans="1:26" ht="14.25" customHeight="1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</row>
    <row r="240" spans="1:26" ht="14.25" customHeight="1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</row>
    <row r="241" spans="1:26" ht="14.25" customHeight="1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</row>
    <row r="242" spans="1:26" ht="14.25" customHeight="1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</row>
    <row r="243" spans="1:26" ht="14.25" customHeight="1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</row>
    <row r="244" spans="1:26" ht="14.25" customHeight="1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</row>
    <row r="245" spans="1:26" ht="14.25" customHeight="1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</row>
    <row r="246" spans="1:26" ht="14.25" customHeight="1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</row>
    <row r="247" spans="1:26" ht="14.25" customHeight="1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</row>
    <row r="248" spans="1:26" ht="14.25" customHeight="1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</row>
    <row r="249" spans="1:26" ht="14.25" customHeight="1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</row>
    <row r="250" spans="1:26" ht="14.25" customHeight="1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</row>
    <row r="251" spans="1:26" ht="14.25" customHeight="1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</row>
    <row r="252" spans="1:26" ht="14.25" customHeight="1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</row>
    <row r="253" spans="1:26" ht="14.25" customHeight="1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</row>
    <row r="254" spans="1:26" ht="14.25" customHeight="1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</row>
    <row r="255" spans="1:26" ht="14.25" customHeight="1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</row>
    <row r="256" spans="1:26" ht="14.25" customHeight="1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</row>
    <row r="257" spans="1:26" ht="14.25" customHeight="1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</row>
    <row r="258" spans="1:26" ht="14.25" customHeight="1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</row>
    <row r="259" spans="1:26" ht="14.25" customHeight="1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</row>
    <row r="260" spans="1:26" ht="14.25" customHeight="1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</row>
    <row r="261" spans="1:26" ht="14.25" customHeight="1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</row>
    <row r="262" spans="1:26" ht="14.25" customHeight="1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</row>
    <row r="263" spans="1:26" ht="14.25" customHeight="1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</row>
    <row r="264" spans="1:26" ht="14.25" customHeight="1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</row>
    <row r="265" spans="1:26" ht="14.25" customHeight="1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</row>
    <row r="266" spans="1:26" ht="14.25" customHeight="1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</row>
    <row r="267" spans="1:26" ht="14.25" customHeight="1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</row>
    <row r="268" spans="1:26" ht="14.25" customHeight="1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</row>
    <row r="269" spans="1:26" ht="14.25" customHeight="1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</row>
    <row r="270" spans="1:26" ht="14.25" customHeight="1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</row>
    <row r="271" spans="1:26" ht="14.25" customHeight="1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</row>
    <row r="272" spans="1:26" ht="14.25" customHeight="1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</row>
    <row r="273" spans="1:26" ht="14.25" customHeight="1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</row>
    <row r="274" spans="1:26" ht="14.25" customHeight="1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</row>
    <row r="275" spans="1:26" ht="14.25" customHeight="1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</row>
    <row r="276" spans="1:26" ht="14.25" customHeight="1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</row>
    <row r="277" spans="1:26" ht="14.25" customHeight="1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</row>
    <row r="278" spans="1:26" ht="14.25" customHeight="1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</row>
    <row r="279" spans="1:26" ht="14.25" customHeight="1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</row>
    <row r="280" spans="1:26" ht="14.25" customHeight="1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</row>
    <row r="281" spans="1:26" ht="14.25" customHeight="1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</row>
    <row r="282" spans="1:26" ht="14.25" customHeight="1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</row>
    <row r="283" spans="1:26" ht="14.25" customHeight="1">
      <c r="A283" s="60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</row>
    <row r="284" spans="1:26" ht="14.25" customHeight="1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</row>
    <row r="285" spans="1:26" ht="14.25" customHeight="1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</row>
    <row r="286" spans="1:26" ht="14.25" customHeight="1">
      <c r="A286" s="60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</row>
    <row r="287" spans="1:26" ht="14.25" customHeight="1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</row>
    <row r="288" spans="1:26" ht="14.25" customHeight="1">
      <c r="A288" s="60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</row>
    <row r="289" spans="1:26" ht="14.25" customHeight="1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</row>
    <row r="290" spans="1:26" ht="14.25" customHeight="1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</row>
    <row r="291" spans="1:26" ht="14.25" customHeight="1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</row>
    <row r="292" spans="1:26" ht="14.25" customHeight="1">
      <c r="A292" s="60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</row>
    <row r="293" spans="1:26" ht="14.25" customHeight="1">
      <c r="A293" s="60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</row>
    <row r="294" spans="1:26" ht="14.25" customHeight="1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</row>
    <row r="295" spans="1:26" ht="14.25" customHeight="1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</row>
    <row r="296" spans="1:26" ht="14.25" customHeight="1">
      <c r="A296" s="60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</row>
    <row r="297" spans="1:26" ht="14.25" customHeight="1">
      <c r="A297" s="60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</row>
    <row r="298" spans="1:26" ht="14.25" customHeight="1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</row>
    <row r="299" spans="1:26" ht="14.25" customHeight="1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</row>
    <row r="300" spans="1:26" ht="14.25" customHeight="1">
      <c r="A300" s="60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</row>
    <row r="301" spans="1:26" ht="14.25" customHeight="1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</row>
    <row r="302" spans="1:26" ht="14.25" customHeight="1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</row>
    <row r="303" spans="1:26" ht="14.25" customHeight="1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</row>
    <row r="304" spans="1:26" ht="14.25" customHeight="1">
      <c r="A304" s="60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</row>
    <row r="305" spans="1:26" ht="14.25" customHeight="1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</row>
    <row r="306" spans="1:26" ht="14.25" customHeight="1">
      <c r="A306" s="60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</row>
    <row r="307" spans="1:26" ht="14.25" customHeight="1">
      <c r="A307" s="60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</row>
    <row r="308" spans="1:26" ht="14.25" customHeight="1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</row>
    <row r="309" spans="1:26" ht="14.25" customHeight="1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</row>
    <row r="310" spans="1:26" ht="14.25" customHeight="1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</row>
    <row r="311" spans="1:26" ht="14.25" customHeight="1">
      <c r="A311" s="60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</row>
    <row r="312" spans="1:26" ht="14.25" customHeight="1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</row>
    <row r="313" spans="1:26" ht="14.25" customHeight="1">
      <c r="A313" s="60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</row>
    <row r="314" spans="1:26" ht="14.25" customHeight="1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</row>
    <row r="315" spans="1:26" ht="14.25" customHeight="1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</row>
    <row r="316" spans="1:26" ht="14.25" customHeight="1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</row>
    <row r="317" spans="1:26" ht="14.25" customHeight="1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</row>
    <row r="318" spans="1:26" ht="14.25" customHeight="1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</row>
    <row r="319" spans="1:26" ht="14.25" customHeight="1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</row>
    <row r="320" spans="1:26" ht="14.25" customHeight="1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</row>
    <row r="321" spans="1:26" ht="14.25" customHeight="1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</row>
    <row r="322" spans="1:26" ht="14.25" customHeight="1">
      <c r="A322" s="60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</row>
    <row r="323" spans="1:26" ht="14.25" customHeight="1">
      <c r="A323" s="60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</row>
    <row r="324" spans="1:26" ht="14.25" customHeight="1">
      <c r="A324" s="60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</row>
    <row r="325" spans="1:26" ht="14.25" customHeight="1">
      <c r="A325" s="60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</row>
    <row r="326" spans="1:26" ht="14.25" customHeight="1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</row>
    <row r="327" spans="1:26" ht="14.25" customHeight="1">
      <c r="A327" s="60"/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</row>
    <row r="328" spans="1:26" ht="14.25" customHeight="1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</row>
    <row r="329" spans="1:26" ht="14.25" customHeight="1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</row>
    <row r="330" spans="1:26" ht="14.25" customHeight="1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</row>
    <row r="331" spans="1:26" ht="14.25" customHeight="1">
      <c r="A331" s="60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</row>
    <row r="332" spans="1:26" ht="14.25" customHeight="1">
      <c r="A332" s="60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</row>
    <row r="333" spans="1:26" ht="14.25" customHeight="1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</row>
    <row r="334" spans="1:26" ht="14.25" customHeight="1">
      <c r="A334" s="60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</row>
    <row r="335" spans="1:26" ht="14.25" customHeight="1">
      <c r="A335" s="60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</row>
    <row r="336" spans="1:26" ht="14.25" customHeight="1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</row>
    <row r="337" spans="1:26" ht="14.25" customHeight="1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</row>
    <row r="338" spans="1:26" ht="15.75" customHeight="1"/>
    <row r="339" spans="1:26" ht="15.75" customHeight="1"/>
    <row r="340" spans="1:26" ht="15.75" customHeight="1"/>
    <row r="341" spans="1:26" ht="15.75" customHeight="1"/>
    <row r="342" spans="1:26" ht="15.75" customHeight="1"/>
    <row r="343" spans="1:26" ht="15.75" customHeight="1"/>
    <row r="344" spans="1:26" ht="15.75" customHeight="1"/>
    <row r="345" spans="1:26" ht="15.75" customHeight="1"/>
    <row r="346" spans="1:26" ht="15.75" customHeight="1"/>
    <row r="347" spans="1:26" ht="15.75" customHeight="1"/>
    <row r="348" spans="1:26" ht="15.75" customHeight="1"/>
    <row r="349" spans="1:26" ht="15.75" customHeight="1"/>
    <row r="350" spans="1:26" ht="15.75" customHeight="1"/>
    <row r="351" spans="1:26" ht="15.75" customHeight="1"/>
    <row r="352" spans="1:26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4:K4"/>
  </mergeCell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000"/>
  <sheetViews>
    <sheetView topLeftCell="G6" workbookViewId="0">
      <selection activeCell="O14" sqref="O14"/>
    </sheetView>
  </sheetViews>
  <sheetFormatPr defaultColWidth="12.6640625" defaultRowHeight="15" customHeight="1"/>
  <cols>
    <col min="1" max="5" width="7.6640625" customWidth="1"/>
    <col min="6" max="8" width="16.5" customWidth="1"/>
    <col min="9" max="9" width="18.75" customWidth="1"/>
    <col min="10" max="10" width="17.1640625" customWidth="1"/>
    <col min="11" max="11" width="13.25" customWidth="1"/>
    <col min="12" max="13" width="11" customWidth="1"/>
    <col min="14" max="15" width="7.6640625" customWidth="1"/>
    <col min="16" max="16" width="119.4140625" customWidth="1"/>
    <col min="17" max="20" width="7.6640625" customWidth="1"/>
    <col min="21" max="26" width="8" customWidth="1"/>
  </cols>
  <sheetData>
    <row r="1" spans="1:20" ht="14.25" customHeight="1">
      <c r="A1" s="60"/>
      <c r="B1" s="100"/>
      <c r="C1" s="100"/>
      <c r="D1" s="100"/>
      <c r="E1" s="100"/>
      <c r="F1" s="100"/>
      <c r="G1" s="100"/>
      <c r="H1" s="100"/>
      <c r="I1" s="100"/>
      <c r="J1" s="101"/>
      <c r="K1" s="100"/>
      <c r="L1" s="100"/>
      <c r="M1" s="100"/>
      <c r="N1" s="60"/>
      <c r="O1" s="60"/>
      <c r="P1" s="60"/>
      <c r="Q1" s="100"/>
      <c r="R1" s="100"/>
      <c r="S1" s="100"/>
      <c r="T1" s="101"/>
    </row>
    <row r="2" spans="1:20" ht="14.25" customHeight="1">
      <c r="A2" s="60"/>
      <c r="M2" s="60"/>
      <c r="N2" s="60"/>
      <c r="O2" s="60"/>
      <c r="P2" s="60"/>
      <c r="Q2" s="60"/>
      <c r="R2" s="60"/>
      <c r="S2" s="60"/>
      <c r="T2" s="102"/>
    </row>
    <row r="3" spans="1:20" ht="14.25" customHeight="1">
      <c r="A3" s="60"/>
      <c r="M3" s="60"/>
      <c r="N3" s="60"/>
      <c r="O3" s="60"/>
      <c r="P3" s="60"/>
      <c r="Q3" s="60"/>
      <c r="R3" s="60"/>
      <c r="S3" s="60"/>
      <c r="T3" s="102"/>
    </row>
    <row r="4" spans="1:20" ht="14.25" customHeight="1">
      <c r="A4" s="60"/>
      <c r="I4" s="179"/>
      <c r="J4" s="178"/>
      <c r="K4" s="103"/>
      <c r="L4" s="103"/>
      <c r="M4" s="103"/>
      <c r="N4" s="103"/>
      <c r="O4" s="103"/>
      <c r="P4" s="60"/>
      <c r="Q4" s="60"/>
      <c r="R4" s="60"/>
      <c r="S4" s="60"/>
      <c r="T4" s="102"/>
    </row>
    <row r="5" spans="1:20" ht="14.25" customHeight="1">
      <c r="A5" s="60"/>
      <c r="I5" s="104" t="s">
        <v>69</v>
      </c>
      <c r="J5" s="105"/>
      <c r="L5" s="106"/>
      <c r="M5" s="60"/>
      <c r="N5" s="60"/>
      <c r="O5" s="60"/>
      <c r="P5" s="60"/>
      <c r="Q5" s="60"/>
      <c r="R5" s="60"/>
      <c r="S5" s="60"/>
      <c r="T5" s="102"/>
    </row>
    <row r="6" spans="1:20" ht="14.25" customHeight="1">
      <c r="A6" s="60"/>
      <c r="C6" s="104" t="s">
        <v>230</v>
      </c>
      <c r="D6" s="104"/>
      <c r="E6" s="104" t="s">
        <v>231</v>
      </c>
      <c r="F6" s="104"/>
      <c r="G6" s="104"/>
      <c r="I6" s="87" t="s">
        <v>232</v>
      </c>
      <c r="J6" s="105"/>
      <c r="L6" s="107"/>
      <c r="M6" s="60"/>
      <c r="N6" s="60"/>
      <c r="O6" s="60"/>
      <c r="P6" s="60"/>
      <c r="Q6" s="60"/>
      <c r="R6" s="60"/>
      <c r="S6" s="60"/>
      <c r="T6" s="102"/>
    </row>
    <row r="7" spans="1:20" ht="14.25" customHeight="1">
      <c r="A7" s="60"/>
      <c r="C7" s="108" t="s">
        <v>233</v>
      </c>
      <c r="D7" s="109"/>
      <c r="E7" s="110"/>
      <c r="F7" s="111">
        <f>Projeto!C115</f>
        <v>0.7</v>
      </c>
      <c r="G7" s="112" t="s">
        <v>234</v>
      </c>
      <c r="H7" s="105"/>
      <c r="I7" s="60"/>
      <c r="M7" s="60"/>
      <c r="N7" s="60"/>
      <c r="O7" s="60"/>
      <c r="P7" s="60"/>
      <c r="Q7" s="60"/>
      <c r="R7" s="60"/>
      <c r="S7" s="60"/>
    </row>
    <row r="8" spans="1:20" ht="14.25" customHeight="1">
      <c r="A8" s="60"/>
      <c r="C8" s="113" t="s">
        <v>235</v>
      </c>
      <c r="D8" s="114"/>
      <c r="E8" s="115"/>
      <c r="F8" s="116">
        <v>0.08</v>
      </c>
      <c r="G8" s="117" t="s">
        <v>236</v>
      </c>
      <c r="H8" s="105"/>
      <c r="K8" s="105"/>
      <c r="L8" s="105"/>
      <c r="M8" s="60"/>
      <c r="N8" s="60"/>
      <c r="O8" s="60"/>
      <c r="P8" s="60"/>
      <c r="Q8" s="60"/>
      <c r="R8" s="60"/>
      <c r="S8" s="60"/>
    </row>
    <row r="9" spans="1:20" ht="14.25" customHeight="1">
      <c r="A9" s="118" t="s">
        <v>237</v>
      </c>
      <c r="B9" s="109"/>
      <c r="C9" s="119"/>
      <c r="D9" s="119"/>
      <c r="E9" s="120"/>
      <c r="F9" s="121">
        <v>1.2E-2</v>
      </c>
      <c r="G9" s="117" t="s">
        <v>238</v>
      </c>
      <c r="H9" s="105"/>
      <c r="I9" s="122"/>
      <c r="K9" s="105"/>
      <c r="L9" s="105"/>
      <c r="M9" s="60"/>
      <c r="N9" s="60"/>
      <c r="O9" s="60"/>
      <c r="P9" s="60"/>
      <c r="Q9" s="60"/>
      <c r="R9" s="60"/>
      <c r="S9" s="60"/>
    </row>
    <row r="10" spans="1:20" ht="14.25" customHeight="1">
      <c r="A10" s="123" t="s">
        <v>239</v>
      </c>
      <c r="B10" s="114"/>
      <c r="C10" s="114"/>
      <c r="D10" s="114"/>
      <c r="E10" s="115"/>
      <c r="F10" s="124">
        <v>7.0000000000000001E-3</v>
      </c>
      <c r="G10" s="117" t="s">
        <v>240</v>
      </c>
      <c r="H10" s="105"/>
      <c r="K10" s="105"/>
      <c r="L10" s="105"/>
      <c r="M10" s="60"/>
      <c r="N10" s="60"/>
      <c r="O10" s="60"/>
      <c r="P10" s="60"/>
      <c r="Q10" s="60"/>
      <c r="R10" s="60"/>
      <c r="S10" s="60"/>
    </row>
    <row r="11" spans="1:20" ht="14.25" customHeight="1">
      <c r="A11" s="119" t="s">
        <v>241</v>
      </c>
      <c r="B11" s="119"/>
      <c r="C11" s="119"/>
      <c r="D11" s="119"/>
      <c r="E11" s="125"/>
      <c r="F11" s="126">
        <v>0.16</v>
      </c>
      <c r="G11" s="117" t="s">
        <v>236</v>
      </c>
      <c r="H11" s="105"/>
      <c r="K11" s="105"/>
      <c r="L11" s="105"/>
      <c r="M11" s="60"/>
      <c r="N11" s="60"/>
      <c r="O11" s="60"/>
      <c r="P11" s="60"/>
      <c r="Q11" s="60"/>
      <c r="R11" s="60"/>
      <c r="S11" s="60"/>
    </row>
    <row r="12" spans="1:20" ht="12.75" customHeight="1">
      <c r="A12" s="127" t="s">
        <v>242</v>
      </c>
      <c r="B12" s="119"/>
      <c r="C12" s="119"/>
      <c r="D12" s="119"/>
      <c r="E12" s="125"/>
      <c r="F12" s="128">
        <v>25</v>
      </c>
      <c r="G12" s="129" t="s">
        <v>236</v>
      </c>
      <c r="K12" s="105"/>
      <c r="L12" s="105"/>
      <c r="M12" s="60"/>
      <c r="N12" s="60"/>
      <c r="O12" s="60"/>
      <c r="P12" s="60"/>
      <c r="Q12" s="60"/>
      <c r="R12" s="60"/>
      <c r="S12" s="60"/>
    </row>
    <row r="13" spans="1:20" ht="13.5" hidden="1" customHeight="1">
      <c r="A13" s="60"/>
      <c r="B13" s="105"/>
      <c r="C13" s="105"/>
      <c r="D13" s="105"/>
      <c r="K13" s="105"/>
      <c r="L13" s="105"/>
      <c r="M13" s="60"/>
      <c r="N13" s="60"/>
      <c r="O13" s="60"/>
      <c r="P13" s="60"/>
      <c r="Q13" s="60"/>
      <c r="R13" s="60"/>
      <c r="S13" s="60"/>
    </row>
    <row r="14" spans="1:20" ht="13.5" customHeight="1">
      <c r="A14" s="119" t="s">
        <v>243</v>
      </c>
      <c r="B14" s="119"/>
      <c r="C14" s="119"/>
      <c r="D14" s="119"/>
      <c r="E14" s="130"/>
      <c r="F14" s="126">
        <v>0</v>
      </c>
      <c r="K14" s="105"/>
      <c r="L14" s="105"/>
      <c r="M14" s="60"/>
      <c r="N14" s="201" t="s">
        <v>262</v>
      </c>
      <c r="O14" s="202"/>
      <c r="P14" s="60"/>
      <c r="Q14" s="60"/>
      <c r="R14" s="60"/>
      <c r="S14" s="60"/>
    </row>
    <row r="15" spans="1:20" ht="13.5" customHeight="1">
      <c r="A15" s="119" t="s">
        <v>244</v>
      </c>
      <c r="B15" s="131"/>
      <c r="C15" s="131"/>
      <c r="D15" s="131"/>
      <c r="E15" s="130"/>
      <c r="F15" s="132">
        <f>Projeto!C58</f>
        <v>3.6986301369863019</v>
      </c>
      <c r="J15" s="200" t="s">
        <v>262</v>
      </c>
      <c r="K15" s="105"/>
      <c r="L15" s="105"/>
      <c r="M15" s="60"/>
      <c r="N15" s="60"/>
      <c r="O15" s="60"/>
      <c r="P15" s="60"/>
      <c r="Q15" s="60"/>
      <c r="R15" s="60"/>
      <c r="S15" s="60"/>
    </row>
    <row r="16" spans="1:20" ht="54.75" customHeight="1">
      <c r="A16" s="60"/>
      <c r="B16" s="133" t="s">
        <v>245</v>
      </c>
      <c r="C16" s="134"/>
      <c r="D16" s="135" t="s">
        <v>246</v>
      </c>
      <c r="E16" s="136" t="s">
        <v>247</v>
      </c>
      <c r="F16" s="137" t="s">
        <v>248</v>
      </c>
      <c r="G16" s="136" t="s">
        <v>249</v>
      </c>
      <c r="H16" s="136" t="s">
        <v>250</v>
      </c>
      <c r="I16" s="138" t="s">
        <v>251</v>
      </c>
      <c r="J16" s="139" t="s">
        <v>252</v>
      </c>
      <c r="K16" s="60"/>
      <c r="L16" s="60"/>
      <c r="M16" s="60"/>
      <c r="N16" s="60"/>
      <c r="O16" s="60"/>
      <c r="P16" s="60"/>
      <c r="Q16" s="60"/>
      <c r="R16" s="60"/>
      <c r="S16" s="60"/>
    </row>
    <row r="17" spans="1:19" ht="14.25" customHeight="1">
      <c r="A17" s="60"/>
      <c r="B17" s="140">
        <f>-D11:D17</f>
        <v>0</v>
      </c>
      <c r="C17" s="140"/>
      <c r="D17" s="141"/>
      <c r="E17" s="142"/>
      <c r="F17" s="143"/>
      <c r="G17" s="144">
        <f>-Projeto!E132</f>
        <v>-16928.099999999999</v>
      </c>
      <c r="H17" s="145">
        <f>G17</f>
        <v>-16928.099999999999</v>
      </c>
      <c r="I17" s="145">
        <f>G17</f>
        <v>-16928.099999999999</v>
      </c>
      <c r="J17" s="145">
        <f>G17</f>
        <v>-16928.099999999999</v>
      </c>
      <c r="K17" s="60"/>
      <c r="L17" s="60"/>
      <c r="M17" s="60"/>
      <c r="N17" s="60"/>
      <c r="O17" s="60"/>
      <c r="P17" s="60"/>
      <c r="Q17" s="60"/>
      <c r="R17" s="60"/>
      <c r="S17" s="60"/>
    </row>
    <row r="18" spans="1:19" ht="14.25" customHeight="1">
      <c r="A18" s="60"/>
      <c r="B18" s="146">
        <v>1</v>
      </c>
      <c r="C18" s="147">
        <v>2019</v>
      </c>
      <c r="D18" s="148">
        <f>Projeto!$H$27*12</f>
        <v>1342.8000000000002</v>
      </c>
      <c r="E18" s="149">
        <f>Projeto!C115</f>
        <v>0.7</v>
      </c>
      <c r="F18" s="150">
        <f>IF(OR(B18=$F$12,B18=2*$F$12,B18=3*$F$12,B18=4*$F$12),(Projeto!$E$132*$F$14)+Projeto!$E$121,Projeto!$E$132*$F$14)</f>
        <v>0</v>
      </c>
      <c r="G18" s="151">
        <f t="shared" ref="G18:G25" si="0">(D18*E18)-F18</f>
        <v>939.96</v>
      </c>
      <c r="H18" s="150">
        <f>G17+G18</f>
        <v>-15988.14</v>
      </c>
      <c r="I18" s="150">
        <f>G18/(1+F11)^B18</f>
        <v>810.31034482758628</v>
      </c>
      <c r="J18" s="150">
        <f t="shared" ref="J18:J42" si="1">J17+I18</f>
        <v>-16117.789655172412</v>
      </c>
      <c r="K18" s="60"/>
      <c r="L18" s="60"/>
      <c r="M18" s="60"/>
      <c r="N18" s="60"/>
      <c r="O18" s="60"/>
      <c r="P18" s="60"/>
      <c r="Q18" s="60"/>
      <c r="R18" s="60"/>
      <c r="S18" s="60"/>
    </row>
    <row r="19" spans="1:19" ht="14.25" customHeight="1">
      <c r="A19" s="60"/>
      <c r="B19" s="152">
        <v>2</v>
      </c>
      <c r="C19" s="153">
        <f>C18+1</f>
        <v>2020</v>
      </c>
      <c r="D19" s="154">
        <f>D18*(1-F10)</f>
        <v>1333.4004000000002</v>
      </c>
      <c r="E19" s="155">
        <f t="shared" ref="E19:E42" si="2">E18*(1+$F$8)</f>
        <v>0.75600000000000001</v>
      </c>
      <c r="F19" s="156">
        <f>IF(OR(B19=$F$12,B19=2*$F$12,B19=3*$F$12,B19=4*$F$12),(Projeto!$E$132*$F$14)+Projeto!$E$121,Projeto!$E$132*$F$14)</f>
        <v>0</v>
      </c>
      <c r="G19" s="157">
        <f t="shared" si="0"/>
        <v>1008.0507024000002</v>
      </c>
      <c r="H19" s="156">
        <f t="shared" ref="H19:H42" si="3">G19+H18</f>
        <v>-14980.0892976</v>
      </c>
      <c r="I19" s="156">
        <f>G19/(1+F11)^B19</f>
        <v>749.14588466111798</v>
      </c>
      <c r="J19" s="156">
        <f t="shared" si="1"/>
        <v>-15368.643770511293</v>
      </c>
      <c r="K19" s="60"/>
      <c r="L19" s="60"/>
      <c r="M19" s="60"/>
      <c r="N19" s="60"/>
      <c r="O19" s="60"/>
      <c r="P19" s="60"/>
      <c r="Q19" s="60"/>
      <c r="R19" s="60"/>
      <c r="S19" s="60"/>
    </row>
    <row r="20" spans="1:19" ht="14.25" customHeight="1">
      <c r="A20" s="60"/>
      <c r="B20" s="146">
        <v>3</v>
      </c>
      <c r="C20" s="147">
        <v>2021</v>
      </c>
      <c r="D20" s="158">
        <f t="shared" ref="D20:D42" si="4">D19*(1-$F$10)</f>
        <v>1324.0665972000002</v>
      </c>
      <c r="E20" s="159">
        <f t="shared" si="2"/>
        <v>0.81648000000000009</v>
      </c>
      <c r="F20" s="150">
        <f>IF(OR(B20=$F$12,B20=2*$F$12,B20=3*$F$12,B20=4*$F$12),(Projeto!$E$132*$F$14)+Projeto!$E$121,Projeto!$E$132*$F$14)</f>
        <v>0</v>
      </c>
      <c r="G20" s="151">
        <f t="shared" si="0"/>
        <v>1081.0738952818563</v>
      </c>
      <c r="H20" s="150">
        <f t="shared" si="3"/>
        <v>-13899.015402318144</v>
      </c>
      <c r="I20" s="150">
        <f>G20/(1+F11)^B20</f>
        <v>692.59828667755983</v>
      </c>
      <c r="J20" s="150">
        <f t="shared" si="1"/>
        <v>-14676.045483833734</v>
      </c>
      <c r="K20" s="60"/>
      <c r="L20" s="60"/>
      <c r="M20" s="60"/>
      <c r="N20" s="60"/>
      <c r="O20" s="60"/>
      <c r="P20" s="60"/>
      <c r="Q20" s="60"/>
      <c r="R20" s="60"/>
      <c r="S20" s="60"/>
    </row>
    <row r="21" spans="1:19" ht="14.25" customHeight="1">
      <c r="A21" s="60"/>
      <c r="B21" s="152">
        <f t="shared" ref="B21:C21" si="5">B20+1</f>
        <v>4</v>
      </c>
      <c r="C21" s="153">
        <f t="shared" si="5"/>
        <v>2022</v>
      </c>
      <c r="D21" s="154">
        <f t="shared" si="4"/>
        <v>1314.7981310196001</v>
      </c>
      <c r="E21" s="155">
        <f t="shared" si="2"/>
        <v>0.8817984000000002</v>
      </c>
      <c r="F21" s="156">
        <f>IF(OR(B21=$F$12,B21=2*$F$12,B21=3*$F$12,B21=4*$F$12),(Projeto!$E$132*$F$14)+Projeto!$E$121,Projeto!$E$132*$F$14)</f>
        <v>0</v>
      </c>
      <c r="G21" s="157">
        <f t="shared" si="0"/>
        <v>1159.3868882560739</v>
      </c>
      <c r="H21" s="156">
        <f t="shared" si="3"/>
        <v>-12739.628514062069</v>
      </c>
      <c r="I21" s="156">
        <f>G21/(1+F11)^B21</f>
        <v>640.31905738317437</v>
      </c>
      <c r="J21" s="156">
        <f t="shared" si="1"/>
        <v>-14035.726426450559</v>
      </c>
      <c r="K21" s="60"/>
      <c r="L21" s="60"/>
      <c r="M21" s="60"/>
      <c r="N21" s="60"/>
      <c r="O21" s="60"/>
      <c r="P21" s="60"/>
      <c r="Q21" s="60"/>
      <c r="R21" s="60"/>
      <c r="S21" s="60"/>
    </row>
    <row r="22" spans="1:19" ht="14.25" customHeight="1">
      <c r="A22" s="60"/>
      <c r="B22" s="146">
        <f t="shared" ref="B22:C22" si="6">B21+1</f>
        <v>5</v>
      </c>
      <c r="C22" s="147">
        <f t="shared" si="6"/>
        <v>2023</v>
      </c>
      <c r="D22" s="158">
        <f t="shared" si="4"/>
        <v>1305.5945441024628</v>
      </c>
      <c r="E22" s="159">
        <f t="shared" si="2"/>
        <v>0.95234227200000032</v>
      </c>
      <c r="F22" s="150">
        <f>IF(OR(B22=$F$12,B22=2*$F$12,B22=3*$F$12,B22=4*$F$12),(Projeto!$E$132*$F$14)+Projeto!$E$121,Projeto!$E$132*$F$14)</f>
        <v>0</v>
      </c>
      <c r="G22" s="151">
        <f t="shared" si="0"/>
        <v>1243.372874441344</v>
      </c>
      <c r="H22" s="150">
        <f t="shared" si="3"/>
        <v>-11496.255639620726</v>
      </c>
      <c r="I22" s="150">
        <f>G22/(1+F11)^B22</f>
        <v>591.98600853449273</v>
      </c>
      <c r="J22" s="150">
        <f t="shared" si="1"/>
        <v>-13443.740417916066</v>
      </c>
      <c r="K22" s="60"/>
      <c r="L22" s="60"/>
      <c r="M22" s="60"/>
      <c r="N22" s="60"/>
      <c r="O22" s="60"/>
      <c r="P22" s="60"/>
      <c r="Q22" s="60"/>
      <c r="R22" s="60"/>
      <c r="S22" s="60"/>
    </row>
    <row r="23" spans="1:19" ht="14.25" customHeight="1">
      <c r="A23" s="60"/>
      <c r="B23" s="152">
        <f t="shared" ref="B23:C23" si="7">B22+1</f>
        <v>6</v>
      </c>
      <c r="C23" s="153">
        <f t="shared" si="7"/>
        <v>2024</v>
      </c>
      <c r="D23" s="154">
        <f t="shared" si="4"/>
        <v>1296.4553822937455</v>
      </c>
      <c r="E23" s="155">
        <f t="shared" si="2"/>
        <v>1.0285296537600004</v>
      </c>
      <c r="F23" s="156">
        <f>IF(OR(B23=$F$12,B23=2*$F$12,B23=3*$F$12,B23=4*$F$12),(Projeto!$E$132*$F$14)+Projeto!$E$121,Projeto!$E$132*$F$14)</f>
        <v>0</v>
      </c>
      <c r="G23" s="157">
        <f t="shared" si="0"/>
        <v>1333.4428054658749</v>
      </c>
      <c r="H23" s="156">
        <f t="shared" si="3"/>
        <v>-10162.812834154851</v>
      </c>
      <c r="I23" s="156">
        <f>G23/(1+F11)^B23</f>
        <v>547.30127154545812</v>
      </c>
      <c r="J23" s="156">
        <f t="shared" si="1"/>
        <v>-12896.439146370607</v>
      </c>
      <c r="K23" s="60"/>
      <c r="L23" s="60"/>
      <c r="M23" s="60"/>
      <c r="N23" s="60"/>
      <c r="O23" s="60"/>
      <c r="P23" s="60"/>
      <c r="Q23" s="60"/>
      <c r="R23" s="60"/>
      <c r="S23" s="60"/>
    </row>
    <row r="24" spans="1:19" ht="14.25" customHeight="1">
      <c r="A24" s="60"/>
      <c r="B24" s="146">
        <f t="shared" ref="B24:C24" si="8">B23+1</f>
        <v>7</v>
      </c>
      <c r="C24" s="147">
        <f t="shared" si="8"/>
        <v>2025</v>
      </c>
      <c r="D24" s="158">
        <f t="shared" si="4"/>
        <v>1287.3801946176893</v>
      </c>
      <c r="E24" s="159">
        <f t="shared" si="2"/>
        <v>1.1108120260608005</v>
      </c>
      <c r="F24" s="150">
        <f>IF(OR(B24=$F$12,B24=2*$F$12,B24=3*$F$12,B24=4*$F$12),(Projeto!$E$132*$F$14)+Projeto!$E$121,Projeto!$E$132*$F$14)</f>
        <v>0</v>
      </c>
      <c r="G24" s="151">
        <f t="shared" si="0"/>
        <v>1430.0374022938231</v>
      </c>
      <c r="H24" s="150">
        <f t="shared" si="3"/>
        <v>-8732.7754318610278</v>
      </c>
      <c r="I24" s="150">
        <f>G24/(1+F11)^B24</f>
        <v>505.98946177259586</v>
      </c>
      <c r="J24" s="150">
        <f t="shared" si="1"/>
        <v>-12390.44968459801</v>
      </c>
      <c r="K24" s="60"/>
      <c r="L24" s="60"/>
      <c r="M24" s="60"/>
      <c r="N24" s="60"/>
      <c r="O24" s="60"/>
      <c r="P24" s="60"/>
      <c r="Q24" s="60"/>
      <c r="R24" s="60"/>
      <c r="S24" s="60"/>
    </row>
    <row r="25" spans="1:19" ht="14.25" customHeight="1">
      <c r="A25" s="60"/>
      <c r="B25" s="152">
        <f t="shared" ref="B25:C25" si="9">B24+1</f>
        <v>8</v>
      </c>
      <c r="C25" s="153">
        <f t="shared" si="9"/>
        <v>2026</v>
      </c>
      <c r="D25" s="154">
        <f t="shared" si="4"/>
        <v>1278.3685332553655</v>
      </c>
      <c r="E25" s="155">
        <f t="shared" si="2"/>
        <v>1.1996769881456646</v>
      </c>
      <c r="F25" s="156">
        <f>IF(OR(B25=$F$12,B25=2*$F$12,B25=3*$F$12,B25=4*$F$12),(Projeto!$E$132*$F$14)+Projeto!$E$121,Projeto!$E$132*$F$14)</f>
        <v>0</v>
      </c>
      <c r="G25" s="157">
        <f t="shared" si="0"/>
        <v>1533.6293117159878</v>
      </c>
      <c r="H25" s="156">
        <f t="shared" si="3"/>
        <v>-7199.1461201450402</v>
      </c>
      <c r="I25" s="156">
        <f>G25/(1+F11)^B25</f>
        <v>467.79598136500238</v>
      </c>
      <c r="J25" s="156">
        <f t="shared" si="1"/>
        <v>-11922.653703233007</v>
      </c>
      <c r="K25" s="60"/>
      <c r="L25" s="60"/>
      <c r="M25" s="60"/>
      <c r="N25" s="60"/>
      <c r="O25" s="60"/>
      <c r="P25" s="60"/>
      <c r="Q25" s="60"/>
      <c r="R25" s="60"/>
      <c r="S25" s="60"/>
    </row>
    <row r="26" spans="1:19" ht="14.25" customHeight="1">
      <c r="A26" s="60"/>
      <c r="B26" s="146">
        <f t="shared" ref="B26:C26" si="10">B25+1</f>
        <v>9</v>
      </c>
      <c r="C26" s="147">
        <f t="shared" si="10"/>
        <v>2027</v>
      </c>
      <c r="D26" s="158">
        <f t="shared" si="4"/>
        <v>1269.419953522578</v>
      </c>
      <c r="E26" s="159">
        <f t="shared" si="2"/>
        <v>1.2956511471973178</v>
      </c>
      <c r="F26" s="150">
        <f>IF(OR(B26=$F$12,B26=2*$F$12,B26=3*$F$12,B26=4*$F$12),(Projeto!$E$132*$F$14)+Projeto!$E$121,Projeto!$E$132*$F$14)</f>
        <v>0</v>
      </c>
      <c r="G26" s="151">
        <f>D26*E26</f>
        <v>1644.7254190566939</v>
      </c>
      <c r="H26" s="150">
        <f t="shared" si="3"/>
        <v>-5554.4207010883465</v>
      </c>
      <c r="I26" s="150">
        <f>G26/(1+F11)^B26</f>
        <v>432.48545021989929</v>
      </c>
      <c r="J26" s="150">
        <f t="shared" si="1"/>
        <v>-11490.168253013107</v>
      </c>
      <c r="K26" s="60"/>
      <c r="L26" s="60"/>
      <c r="M26" s="60"/>
      <c r="N26" s="60"/>
      <c r="O26" s="60"/>
      <c r="P26" s="60"/>
      <c r="Q26" s="60"/>
      <c r="R26" s="60"/>
      <c r="S26" s="60"/>
    </row>
    <row r="27" spans="1:19" ht="14.25" customHeight="1">
      <c r="A27" s="60"/>
      <c r="B27" s="152">
        <f t="shared" ref="B27:C27" si="11">B26+1</f>
        <v>10</v>
      </c>
      <c r="C27" s="153">
        <f t="shared" si="11"/>
        <v>2028</v>
      </c>
      <c r="D27" s="154">
        <f t="shared" si="4"/>
        <v>1260.5340138479201</v>
      </c>
      <c r="E27" s="155">
        <f t="shared" si="2"/>
        <v>1.3993032389731033</v>
      </c>
      <c r="F27" s="156">
        <f>IF(OR(B27=$F$12,B27=2*$F$12,B27=3*$F$12,B27=4*$F$12),(Projeto!$E$132*$F$14)+Projeto!$E$121,Projeto!$E$132*$F$14)</f>
        <v>0</v>
      </c>
      <c r="G27" s="157">
        <f t="shared" ref="G27:G29" si="12">(D27*E27)-F27</f>
        <v>1763.8693284131612</v>
      </c>
      <c r="H27" s="156">
        <f t="shared" si="3"/>
        <v>-3790.5513726751851</v>
      </c>
      <c r="I27" s="156">
        <f>G27/(1+F11)^B27</f>
        <v>399.84025537399043</v>
      </c>
      <c r="J27" s="156">
        <f t="shared" si="1"/>
        <v>-11090.327997639117</v>
      </c>
      <c r="K27" s="60"/>
      <c r="L27" s="60"/>
      <c r="M27" s="60"/>
      <c r="N27" s="60"/>
      <c r="O27" s="60"/>
      <c r="P27" s="60"/>
      <c r="Q27" s="60"/>
      <c r="R27" s="60"/>
      <c r="S27" s="60"/>
    </row>
    <row r="28" spans="1:19" ht="14.25" customHeight="1">
      <c r="A28" s="60"/>
      <c r="B28" s="146">
        <f t="shared" ref="B28:C28" si="13">B27+1</f>
        <v>11</v>
      </c>
      <c r="C28" s="147">
        <f t="shared" si="13"/>
        <v>2029</v>
      </c>
      <c r="D28" s="158">
        <f t="shared" si="4"/>
        <v>1251.7102757509847</v>
      </c>
      <c r="E28" s="159">
        <f t="shared" si="2"/>
        <v>1.5112474980909516</v>
      </c>
      <c r="F28" s="150">
        <f>IF(OR(B28=$F$12,B28=2*$F$12,B28=3*$F$12,B28=4*$F$12),(Projeto!$E$132*$F$14)+Projeto!$E$121,Projeto!$E$132*$F$14)</f>
        <v>0</v>
      </c>
      <c r="G28" s="151">
        <f t="shared" si="12"/>
        <v>1891.6440225634108</v>
      </c>
      <c r="H28" s="150">
        <f t="shared" si="3"/>
        <v>-1898.9073501117743</v>
      </c>
      <c r="I28" s="150">
        <f>G28/(1+F11)^B28</f>
        <v>369.65920989076068</v>
      </c>
      <c r="J28" s="150">
        <f t="shared" si="1"/>
        <v>-10720.668787748356</v>
      </c>
      <c r="K28" s="60"/>
      <c r="L28" s="60"/>
      <c r="M28" s="60"/>
      <c r="N28" s="60"/>
      <c r="O28" s="60"/>
      <c r="P28" s="60"/>
      <c r="Q28" s="60"/>
      <c r="R28" s="60"/>
      <c r="S28" s="60"/>
    </row>
    <row r="29" spans="1:19" ht="14.25" customHeight="1">
      <c r="A29" s="60"/>
      <c r="B29" s="152">
        <f t="shared" ref="B29:C29" si="14">B28+1</f>
        <v>12</v>
      </c>
      <c r="C29" s="153">
        <f t="shared" si="14"/>
        <v>2030</v>
      </c>
      <c r="D29" s="154">
        <f t="shared" si="4"/>
        <v>1242.9483038207277</v>
      </c>
      <c r="E29" s="155">
        <f t="shared" si="2"/>
        <v>1.6321472979382279</v>
      </c>
      <c r="F29" s="156">
        <f>IF(OR(B29=$F$12,B29=2*$F$12,B29=3*$F$12,B29=4*$F$12),(Projeto!$E$132*$F$14)+Projeto!$E$121,Projeto!$E$132*$F$14)</f>
        <v>0</v>
      </c>
      <c r="G29" s="157">
        <f t="shared" si="12"/>
        <v>2028.6747155579042</v>
      </c>
      <c r="H29" s="156">
        <f t="shared" si="3"/>
        <v>129.76736544612982</v>
      </c>
      <c r="I29" s="156">
        <f>G29/(1+F11)^B29</f>
        <v>341.75631297866153</v>
      </c>
      <c r="J29" s="156">
        <f t="shared" si="1"/>
        <v>-10378.912474769695</v>
      </c>
      <c r="K29" s="60"/>
      <c r="L29" s="60"/>
      <c r="M29" s="60"/>
      <c r="N29" s="60"/>
      <c r="O29" s="60"/>
      <c r="P29" s="60"/>
      <c r="Q29" s="60"/>
      <c r="R29" s="60"/>
      <c r="S29" s="60"/>
    </row>
    <row r="30" spans="1:19" ht="14.25" customHeight="1">
      <c r="A30" s="60"/>
      <c r="B30" s="146">
        <f t="shared" ref="B30:C30" si="15">B29+1</f>
        <v>13</v>
      </c>
      <c r="C30" s="147">
        <f t="shared" si="15"/>
        <v>2031</v>
      </c>
      <c r="D30" s="158">
        <f t="shared" si="4"/>
        <v>1234.2476656939825</v>
      </c>
      <c r="E30" s="159">
        <f t="shared" si="2"/>
        <v>1.7627190817732863</v>
      </c>
      <c r="F30" s="150">
        <f>IF(OR(B30=$F$12,B30=2*$F$12,B30=3*$F$12,B30=4*$F$12),(Projeto!$E$132*$F$14)+Projeto!$E$121,Projeto!$E$132*$F$14)</f>
        <v>0</v>
      </c>
      <c r="G30" s="151">
        <f>D30*E30</f>
        <v>2175.6319119529189</v>
      </c>
      <c r="H30" s="150">
        <f t="shared" si="3"/>
        <v>2305.3992773990485</v>
      </c>
      <c r="I30" s="150">
        <f>G30/(1+F11)^B30</f>
        <v>315.95960369899637</v>
      </c>
      <c r="J30" s="150">
        <f t="shared" si="1"/>
        <v>-10062.952871070698</v>
      </c>
      <c r="K30" s="60"/>
      <c r="L30" s="60"/>
      <c r="M30" s="60"/>
      <c r="N30" s="60"/>
      <c r="O30" s="60"/>
      <c r="P30" s="60"/>
      <c r="Q30" s="60"/>
      <c r="R30" s="60"/>
      <c r="S30" s="60"/>
    </row>
    <row r="31" spans="1:19" ht="14.25" customHeight="1">
      <c r="A31" s="60"/>
      <c r="B31" s="152">
        <f t="shared" ref="B31:C31" si="16">B30+1</f>
        <v>14</v>
      </c>
      <c r="C31" s="153">
        <f t="shared" si="16"/>
        <v>2032</v>
      </c>
      <c r="D31" s="154">
        <f t="shared" si="4"/>
        <v>1225.6079320341246</v>
      </c>
      <c r="E31" s="155">
        <f t="shared" si="2"/>
        <v>1.9037366083151492</v>
      </c>
      <c r="F31" s="156">
        <f>IF(OR(B31=$F$12,B31=2*$F$12,B31=3*$F$12,B31=4*$F$12),(Projeto!$E$132*$F$14)+Projeto!$E$121,Projeto!$E$132*$F$14)</f>
        <v>0</v>
      </c>
      <c r="G31" s="157">
        <f t="shared" ref="G31:G42" si="17">(D31*E31)-F31</f>
        <v>2333.2346876547881</v>
      </c>
      <c r="H31" s="156">
        <f t="shared" si="3"/>
        <v>4638.6339650538366</v>
      </c>
      <c r="I31" s="156">
        <f>G31/(1+F11)^B31</f>
        <v>292.11010119909628</v>
      </c>
      <c r="J31" s="156">
        <f t="shared" si="1"/>
        <v>-9770.8427698716023</v>
      </c>
      <c r="K31" s="60"/>
      <c r="L31" s="60"/>
      <c r="M31" s="60"/>
      <c r="N31" s="60"/>
      <c r="O31" s="60"/>
      <c r="P31" s="60"/>
      <c r="Q31" s="60"/>
      <c r="R31" s="60"/>
      <c r="S31" s="60"/>
    </row>
    <row r="32" spans="1:19" ht="14.25" customHeight="1">
      <c r="A32" s="60"/>
      <c r="B32" s="146">
        <f t="shared" ref="B32:C32" si="18">B31+1</f>
        <v>15</v>
      </c>
      <c r="C32" s="147">
        <f t="shared" si="18"/>
        <v>2033</v>
      </c>
      <c r="D32" s="158">
        <f t="shared" si="4"/>
        <v>1217.0286765098856</v>
      </c>
      <c r="E32" s="159">
        <f t="shared" si="2"/>
        <v>2.0560355369803611</v>
      </c>
      <c r="F32" s="150">
        <f>IF(OR(B32=$F$12,B32=2*$F$12,B32=3*$F$12,B32=4*$F$12),(Projeto!$E$132*$F$14)+Projeto!$E$121,Projeto!$E$132*$F$14)</f>
        <v>0</v>
      </c>
      <c r="G32" s="151">
        <f t="shared" si="17"/>
        <v>2502.254208428501</v>
      </c>
      <c r="H32" s="150">
        <f t="shared" si="3"/>
        <v>7140.8881734823372</v>
      </c>
      <c r="I32" s="150">
        <f>G32/(1+F11)^B32</f>
        <v>270.06082493961969</v>
      </c>
      <c r="J32" s="150">
        <f t="shared" si="1"/>
        <v>-9500.7819449319832</v>
      </c>
      <c r="K32" s="60"/>
      <c r="L32" s="60"/>
      <c r="M32" s="60"/>
      <c r="N32" s="60"/>
      <c r="O32" s="60"/>
      <c r="P32" s="60"/>
      <c r="Q32" s="60"/>
      <c r="R32" s="60"/>
      <c r="S32" s="60"/>
    </row>
    <row r="33" spans="1:19" ht="14.25" customHeight="1">
      <c r="A33" s="60"/>
      <c r="B33" s="152">
        <f t="shared" ref="B33:C33" si="19">B32+1</f>
        <v>16</v>
      </c>
      <c r="C33" s="153">
        <f t="shared" si="19"/>
        <v>2034</v>
      </c>
      <c r="D33" s="154">
        <f t="shared" si="4"/>
        <v>1208.5094757743163</v>
      </c>
      <c r="E33" s="155">
        <f t="shared" si="2"/>
        <v>2.22051837993879</v>
      </c>
      <c r="F33" s="156">
        <f>IF(OR(B33=$F$12,B33=2*$F$12,B33=3*$F$12,B33=4*$F$12),(Projeto!$E$132*$F$14)+Projeto!$E$121,Projeto!$E$132*$F$14)</f>
        <v>0</v>
      </c>
      <c r="G33" s="157">
        <f t="shared" si="17"/>
        <v>2683.5175032870611</v>
      </c>
      <c r="H33" s="156">
        <f t="shared" si="3"/>
        <v>9824.4056767693983</v>
      </c>
      <c r="I33" s="156">
        <f>G33/(1+F11)^B33</f>
        <v>249.675888877798</v>
      </c>
      <c r="J33" s="156">
        <f t="shared" si="1"/>
        <v>-9251.1060560541846</v>
      </c>
      <c r="K33" s="60"/>
      <c r="L33" s="60"/>
      <c r="M33" s="60"/>
      <c r="N33" s="60"/>
      <c r="O33" s="60"/>
      <c r="P33" s="60"/>
      <c r="Q33" s="60"/>
      <c r="R33" s="60"/>
      <c r="S33" s="60"/>
    </row>
    <row r="34" spans="1:19" ht="14.25" customHeight="1">
      <c r="A34" s="60"/>
      <c r="B34" s="146">
        <f t="shared" ref="B34:C34" si="20">B33+1</f>
        <v>17</v>
      </c>
      <c r="C34" s="147">
        <f t="shared" si="20"/>
        <v>2035</v>
      </c>
      <c r="D34" s="158">
        <f t="shared" si="4"/>
        <v>1200.049909443896</v>
      </c>
      <c r="E34" s="159">
        <f t="shared" si="2"/>
        <v>2.3981598503338932</v>
      </c>
      <c r="F34" s="150">
        <f>IF(OR(B34=$F$12,B34=2*$F$12,B34=3*$F$12,B34=4*$F$12),(Projeto!$E$132*$F$14)+Projeto!$E$121,Projeto!$E$132*$F$14)</f>
        <v>0</v>
      </c>
      <c r="G34" s="151">
        <f t="shared" si="17"/>
        <v>2877.9115112251757</v>
      </c>
      <c r="H34" s="150">
        <f t="shared" si="3"/>
        <v>12702.317187994573</v>
      </c>
      <c r="I34" s="150">
        <f>G34/(1+F11)^B34</f>
        <v>230.82966402422903</v>
      </c>
      <c r="J34" s="150">
        <f t="shared" si="1"/>
        <v>-9020.2763920299549</v>
      </c>
      <c r="K34" s="60"/>
      <c r="L34" s="60"/>
      <c r="M34" s="60"/>
      <c r="N34" s="60"/>
      <c r="O34" s="60"/>
      <c r="P34" s="60"/>
      <c r="Q34" s="60"/>
      <c r="R34" s="60"/>
      <c r="S34" s="60"/>
    </row>
    <row r="35" spans="1:19" ht="14.25" customHeight="1">
      <c r="A35" s="60"/>
      <c r="B35" s="152">
        <f t="shared" ref="B35:C35" si="21">B34+1</f>
        <v>18</v>
      </c>
      <c r="C35" s="153">
        <f t="shared" si="21"/>
        <v>2036</v>
      </c>
      <c r="D35" s="154">
        <f t="shared" si="4"/>
        <v>1191.6495600777887</v>
      </c>
      <c r="E35" s="155">
        <f t="shared" si="2"/>
        <v>2.590012638360605</v>
      </c>
      <c r="F35" s="156">
        <f>IF(OR(B35=$F$12,B35=2*$F$12,B35=3*$F$12,B35=4*$F$12),(Projeto!$E$132*$F$14)+Projeto!$E$121,Projeto!$E$132*$F$14)</f>
        <v>0</v>
      </c>
      <c r="G35" s="157">
        <f t="shared" si="17"/>
        <v>3086.3874210983276</v>
      </c>
      <c r="H35" s="156">
        <f t="shared" si="3"/>
        <v>15788.7046090929</v>
      </c>
      <c r="I35" s="156">
        <f>G35/(1+F11)^B35</f>
        <v>213.4060042121933</v>
      </c>
      <c r="J35" s="156">
        <f t="shared" si="1"/>
        <v>-8806.8703878177621</v>
      </c>
      <c r="K35" s="60"/>
      <c r="L35" s="60"/>
      <c r="M35" s="60"/>
      <c r="N35" s="60"/>
      <c r="O35" s="60"/>
      <c r="P35" s="60"/>
      <c r="Q35" s="60"/>
      <c r="R35" s="60"/>
      <c r="S35" s="60"/>
    </row>
    <row r="36" spans="1:19" ht="14.25" customHeight="1">
      <c r="A36" s="60"/>
      <c r="B36" s="146">
        <f t="shared" ref="B36:C36" si="22">B35+1</f>
        <v>19</v>
      </c>
      <c r="C36" s="147">
        <f t="shared" si="22"/>
        <v>2037</v>
      </c>
      <c r="D36" s="158">
        <f t="shared" si="4"/>
        <v>1183.3080131572442</v>
      </c>
      <c r="E36" s="159">
        <f t="shared" si="2"/>
        <v>2.7972136494294535</v>
      </c>
      <c r="F36" s="150">
        <f>IF(OR(B36=$F$12,B36=2*$F$12,B36=3*$F$12,B36=4*$F$12),(Projeto!$E$132*$F$14)+Projeto!$E$121,Projeto!$E$132*$F$14)</f>
        <v>0</v>
      </c>
      <c r="G36" s="151">
        <f t="shared" si="17"/>
        <v>3309.9653258826906</v>
      </c>
      <c r="H36" s="150">
        <f t="shared" si="3"/>
        <v>19098.669934975591</v>
      </c>
      <c r="I36" s="150">
        <f>G36/(1+F11)^B36</f>
        <v>197.29753030803843</v>
      </c>
      <c r="J36" s="150">
        <f t="shared" si="1"/>
        <v>-8609.5728575097237</v>
      </c>
      <c r="K36" s="60"/>
      <c r="L36" s="60"/>
      <c r="M36" s="60"/>
      <c r="N36" s="60"/>
      <c r="O36" s="60"/>
      <c r="P36" s="60"/>
      <c r="Q36" s="60"/>
      <c r="R36" s="60"/>
      <c r="S36" s="60"/>
    </row>
    <row r="37" spans="1:19" ht="14.25" customHeight="1">
      <c r="A37" s="60"/>
      <c r="B37" s="152">
        <f t="shared" ref="B37:C37" si="23">B36+1</f>
        <v>20</v>
      </c>
      <c r="C37" s="153">
        <f t="shared" si="23"/>
        <v>2038</v>
      </c>
      <c r="D37" s="154">
        <f t="shared" si="4"/>
        <v>1175.0248570651436</v>
      </c>
      <c r="E37" s="155">
        <f t="shared" si="2"/>
        <v>3.0209907413838102</v>
      </c>
      <c r="F37" s="156">
        <f>IF(OR(B37=$F$12,B37=2*$F$12,B37=3*$F$12,B37=4*$F$12),(Projeto!$E$132*$F$14)+Projeto!$E$121,Projeto!$E$132*$F$14)</f>
        <v>0</v>
      </c>
      <c r="G37" s="157">
        <f t="shared" si="17"/>
        <v>3549.7392140896336</v>
      </c>
      <c r="H37" s="156">
        <f t="shared" si="3"/>
        <v>22648.409149065224</v>
      </c>
      <c r="I37" s="156">
        <f>G37/(1+F11)^B37</f>
        <v>182.40496845133865</v>
      </c>
      <c r="J37" s="156">
        <f t="shared" si="1"/>
        <v>-8427.1678890583844</v>
      </c>
      <c r="K37" s="60"/>
      <c r="L37" s="60"/>
      <c r="M37" s="60"/>
      <c r="N37" s="60"/>
      <c r="O37" s="60"/>
      <c r="P37" s="60"/>
      <c r="Q37" s="60"/>
      <c r="R37" s="60"/>
      <c r="S37" s="60"/>
    </row>
    <row r="38" spans="1:19" ht="14.25" customHeight="1">
      <c r="A38" s="60"/>
      <c r="B38" s="146">
        <f t="shared" ref="B38:C38" si="24">B37+1</f>
        <v>21</v>
      </c>
      <c r="C38" s="147">
        <f t="shared" si="24"/>
        <v>2039</v>
      </c>
      <c r="D38" s="158">
        <f t="shared" si="4"/>
        <v>1166.7996830656875</v>
      </c>
      <c r="E38" s="160">
        <f t="shared" si="2"/>
        <v>3.2626700006945151</v>
      </c>
      <c r="F38" s="150">
        <f>IF(OR(B38=$F$12,B38=2*$F$12,B38=3*$F$12,B38=4*$F$12),(Projeto!$E$132*$F$14)+Projeto!$E$121,Projeto!$E$132*$F$14)</f>
        <v>0</v>
      </c>
      <c r="G38" s="151">
        <f t="shared" si="17"/>
        <v>3806.8823227582866</v>
      </c>
      <c r="H38" s="150">
        <f t="shared" si="3"/>
        <v>26455.291471823512</v>
      </c>
      <c r="I38" s="150">
        <f>G38/(1+F11)^B38</f>
        <v>168.63653824651172</v>
      </c>
      <c r="J38" s="150">
        <f t="shared" si="1"/>
        <v>-8258.5313508118725</v>
      </c>
      <c r="K38" s="60"/>
      <c r="L38" s="60"/>
      <c r="M38" s="60"/>
      <c r="N38" s="60"/>
      <c r="O38" s="60"/>
      <c r="P38" s="60"/>
      <c r="Q38" s="60"/>
      <c r="R38" s="60"/>
      <c r="S38" s="60"/>
    </row>
    <row r="39" spans="1:19" ht="14.25" customHeight="1">
      <c r="A39" s="60"/>
      <c r="B39" s="152">
        <f t="shared" ref="B39:C39" si="25">B38+1</f>
        <v>22</v>
      </c>
      <c r="C39" s="153">
        <f t="shared" si="25"/>
        <v>2040</v>
      </c>
      <c r="D39" s="154">
        <f t="shared" si="4"/>
        <v>1158.6320852842277</v>
      </c>
      <c r="E39" s="155">
        <f t="shared" si="2"/>
        <v>3.5236836007500765</v>
      </c>
      <c r="F39" s="156">
        <f>IF(OR(B39=$F$12,B39=2*$F$12,B39=3*$F$12,B39=4*$F$12),(Projeto!$E$132*$F$14)+Projeto!$E$121,Projeto!$E$132*$F$14)</f>
        <v>0</v>
      </c>
      <c r="G39" s="157">
        <f t="shared" si="17"/>
        <v>4082.6528782188975</v>
      </c>
      <c r="H39" s="156">
        <f t="shared" si="3"/>
        <v>30537.944350042409</v>
      </c>
      <c r="I39" s="156">
        <f>G39/(1+F11)^B39</f>
        <v>155.9073871354216</v>
      </c>
      <c r="J39" s="156">
        <f t="shared" si="1"/>
        <v>-8102.6239636764512</v>
      </c>
      <c r="K39" s="60"/>
      <c r="L39" s="60"/>
      <c r="M39" s="60"/>
      <c r="N39" s="60"/>
      <c r="O39" s="60"/>
      <c r="P39" s="60"/>
      <c r="Q39" s="60"/>
      <c r="R39" s="60"/>
      <c r="S39" s="60"/>
    </row>
    <row r="40" spans="1:19" ht="14.25" customHeight="1">
      <c r="A40" s="60"/>
      <c r="B40" s="146">
        <f t="shared" ref="B40:C40" si="26">B39+1</f>
        <v>23</v>
      </c>
      <c r="C40" s="147">
        <f t="shared" si="26"/>
        <v>2041</v>
      </c>
      <c r="D40" s="158">
        <f t="shared" si="4"/>
        <v>1150.5216606872382</v>
      </c>
      <c r="E40" s="160">
        <f t="shared" si="2"/>
        <v>3.8055782888100826</v>
      </c>
      <c r="F40" s="150">
        <f>IF(OR(B40=$F$12,B40=2*$F$12,B40=3*$F$12,B40=4*$F$12),(Projeto!$E$132*$F$14)+Projeto!$E$121,Projeto!$E$132*$F$14)</f>
        <v>0</v>
      </c>
      <c r="G40" s="151">
        <f t="shared" si="17"/>
        <v>4378.4002527170742</v>
      </c>
      <c r="H40" s="150">
        <f t="shared" si="3"/>
        <v>34916.344602759484</v>
      </c>
      <c r="I40" s="150">
        <f>G40/(1+F11)^B40</f>
        <v>144.13906746509616</v>
      </c>
      <c r="J40" s="150">
        <f t="shared" si="1"/>
        <v>-7958.4848962113547</v>
      </c>
      <c r="K40" s="60"/>
      <c r="L40" s="60"/>
      <c r="M40" s="60"/>
      <c r="N40" s="60"/>
      <c r="O40" s="60"/>
      <c r="P40" s="60"/>
      <c r="Q40" s="60"/>
      <c r="R40" s="60"/>
      <c r="S40" s="60"/>
    </row>
    <row r="41" spans="1:19" ht="14.25" customHeight="1">
      <c r="A41" s="60"/>
      <c r="B41" s="152">
        <f t="shared" ref="B41:C41" si="27">B40+1</f>
        <v>24</v>
      </c>
      <c r="C41" s="153">
        <f t="shared" si="27"/>
        <v>2042</v>
      </c>
      <c r="D41" s="154">
        <f t="shared" si="4"/>
        <v>1142.4680090624274</v>
      </c>
      <c r="E41" s="155">
        <f t="shared" si="2"/>
        <v>4.1100245519148899</v>
      </c>
      <c r="F41" s="156">
        <f>IF(OR(B41=$F$12,B41=2*$F$12,B41=3*$F$12,B41=4*$F$12),(Projeto!$E$132*$F$14)+Projeto!$E$121,Projeto!$E$132*$F$14)</f>
        <v>0</v>
      </c>
      <c r="G41" s="157">
        <f t="shared" si="17"/>
        <v>4695.5715670238997</v>
      </c>
      <c r="H41" s="156">
        <f t="shared" si="3"/>
        <v>39611.916169783384</v>
      </c>
      <c r="I41" s="156">
        <f>G41/(1+F11)^B41</f>
        <v>133.259053027817</v>
      </c>
      <c r="J41" s="156">
        <f t="shared" si="1"/>
        <v>-7825.225843183538</v>
      </c>
      <c r="K41" s="60"/>
      <c r="L41" s="60"/>
      <c r="M41" s="60"/>
      <c r="N41" s="60"/>
      <c r="O41" s="60"/>
      <c r="P41" s="60"/>
      <c r="Q41" s="60"/>
      <c r="R41" s="60"/>
      <c r="S41" s="60"/>
    </row>
    <row r="42" spans="1:19" ht="14.25" customHeight="1">
      <c r="A42" s="60"/>
      <c r="B42" s="161">
        <f t="shared" ref="B42:C42" si="28">B41+1</f>
        <v>25</v>
      </c>
      <c r="C42" s="162">
        <f t="shared" si="28"/>
        <v>2043</v>
      </c>
      <c r="D42" s="163">
        <f t="shared" si="4"/>
        <v>1134.4707329989903</v>
      </c>
      <c r="E42" s="164">
        <f t="shared" si="2"/>
        <v>4.4388265160680813</v>
      </c>
      <c r="F42" s="165">
        <f>IF(OR(B42=$F$12,B42=2*$F$12,B42=3*$F$12,B42=4*$F$12),(Projeto!$E$132*$F$14)+Projeto!$E$121,Projeto!$E$132*$F$14)</f>
        <v>1910</v>
      </c>
      <c r="G42" s="166">
        <f t="shared" si="17"/>
        <v>3125.7187713391104</v>
      </c>
      <c r="H42" s="165">
        <f t="shared" si="3"/>
        <v>42737.634941122495</v>
      </c>
      <c r="I42" s="165">
        <f>G42/(1+F11)^B42</f>
        <v>76.471598816185548</v>
      </c>
      <c r="J42" s="165">
        <f t="shared" si="1"/>
        <v>-7748.7542443673528</v>
      </c>
      <c r="K42" s="60"/>
      <c r="L42" s="60"/>
      <c r="M42" s="60"/>
      <c r="N42" s="60"/>
      <c r="O42" s="60"/>
      <c r="P42" s="60"/>
      <c r="Q42" s="60"/>
      <c r="R42" s="60"/>
      <c r="S42" s="60"/>
    </row>
    <row r="43" spans="1:19" ht="14.25" customHeight="1">
      <c r="A43" s="60"/>
      <c r="B43" s="60"/>
      <c r="C43" s="60"/>
      <c r="D43" s="60"/>
      <c r="E43" s="60"/>
      <c r="F43" s="60"/>
      <c r="G43" s="60"/>
      <c r="H43" s="60"/>
      <c r="I43" s="167"/>
      <c r="J43" s="167"/>
      <c r="K43" s="60"/>
      <c r="L43" s="60"/>
      <c r="M43" s="60"/>
      <c r="N43" s="60"/>
      <c r="O43" s="60"/>
      <c r="P43" s="60"/>
      <c r="Q43" s="60"/>
      <c r="R43" s="60"/>
      <c r="S43" s="60"/>
    </row>
    <row r="44" spans="1:19" ht="14.25" customHeight="1">
      <c r="A44" s="60"/>
      <c r="B44" s="60"/>
      <c r="C44" s="60"/>
      <c r="D44" s="60"/>
      <c r="E44" s="60"/>
      <c r="F44" s="60"/>
      <c r="G44" s="60"/>
      <c r="H44" s="60"/>
      <c r="I44" s="167"/>
      <c r="J44" s="167"/>
      <c r="K44" s="60"/>
      <c r="L44" s="60"/>
      <c r="M44" s="60"/>
      <c r="N44" s="60"/>
      <c r="O44" s="60"/>
      <c r="P44" s="60"/>
      <c r="Q44" s="60"/>
      <c r="R44" s="60"/>
      <c r="S44" s="60"/>
    </row>
    <row r="45" spans="1:19" ht="14.25" customHeight="1">
      <c r="A45" s="60"/>
      <c r="B45" s="60"/>
      <c r="C45" s="60"/>
      <c r="H45" s="168" t="s">
        <v>253</v>
      </c>
      <c r="I45" s="169"/>
      <c r="J45" s="170">
        <f>J42</f>
        <v>-7748.7542443673528</v>
      </c>
      <c r="K45" s="60"/>
      <c r="L45" s="60"/>
      <c r="M45" s="98"/>
      <c r="N45" s="98"/>
      <c r="O45" s="60"/>
      <c r="P45" s="60"/>
      <c r="Q45" s="60"/>
      <c r="R45" s="60"/>
      <c r="S45" s="60"/>
    </row>
    <row r="46" spans="1:19" ht="14.25" customHeight="1">
      <c r="A46" s="60"/>
      <c r="B46" s="60"/>
      <c r="C46" s="60"/>
      <c r="D46" s="60"/>
      <c r="E46" s="60"/>
      <c r="F46" s="60"/>
      <c r="G46" s="60"/>
      <c r="H46" s="60"/>
      <c r="J46" s="167"/>
      <c r="K46" s="60"/>
      <c r="L46" s="60"/>
      <c r="M46" s="60"/>
      <c r="N46" s="60"/>
      <c r="O46" s="60"/>
      <c r="P46" s="60"/>
      <c r="Q46" s="60"/>
      <c r="R46" s="60"/>
      <c r="S46" s="60"/>
    </row>
    <row r="47" spans="1:19" ht="14.25" customHeight="1">
      <c r="A47" s="60"/>
      <c r="B47" s="60"/>
      <c r="C47" s="60"/>
      <c r="D47" s="60"/>
      <c r="E47" s="60"/>
      <c r="F47" s="60"/>
      <c r="G47" s="60"/>
      <c r="H47" s="60"/>
      <c r="I47" s="167"/>
      <c r="J47" s="171"/>
      <c r="K47" s="60"/>
      <c r="L47" s="60"/>
      <c r="M47" s="60"/>
      <c r="N47" s="172"/>
      <c r="O47" s="60"/>
      <c r="P47" s="60"/>
      <c r="Q47" s="60"/>
      <c r="R47" s="60"/>
      <c r="S47" s="60"/>
    </row>
    <row r="48" spans="1:19" ht="14.25" customHeight="1">
      <c r="A48" s="60"/>
      <c r="B48" s="60"/>
      <c r="C48" s="60"/>
      <c r="D48" s="60"/>
      <c r="E48" s="60"/>
      <c r="F48" s="60"/>
      <c r="G48" s="60"/>
      <c r="H48" s="168" t="s">
        <v>254</v>
      </c>
      <c r="I48" s="169"/>
      <c r="J48" s="173">
        <f>IRR(G17:G42)</f>
        <v>9.3784698343021708E-2</v>
      </c>
      <c r="K48" s="60"/>
      <c r="L48" s="60"/>
      <c r="M48" s="60"/>
      <c r="N48" s="60"/>
      <c r="O48" s="60"/>
      <c r="P48" s="60"/>
      <c r="Q48" s="60"/>
      <c r="R48" s="60"/>
      <c r="S48" s="60"/>
    </row>
    <row r="49" spans="1:19" ht="14.25" customHeigh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</row>
    <row r="50" spans="1:19" ht="14.25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</row>
    <row r="51" spans="1:19" ht="14.25" customHeight="1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</row>
    <row r="52" spans="1:19" ht="14.25" customHeight="1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</row>
    <row r="53" spans="1:19" ht="14.25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</row>
    <row r="54" spans="1:19" ht="14.25" customHeight="1">
      <c r="A54" s="60"/>
      <c r="B54" s="60"/>
      <c r="C54" s="60"/>
      <c r="D54" s="60"/>
      <c r="E54" s="60"/>
      <c r="F54" s="174"/>
      <c r="G54" s="180"/>
      <c r="H54" s="178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</row>
    <row r="55" spans="1:19" ht="14.25" customHeight="1">
      <c r="A55" s="60"/>
      <c r="B55" s="60"/>
      <c r="C55" s="60"/>
      <c r="D55" s="60"/>
      <c r="E55" s="60"/>
      <c r="F55" s="175"/>
      <c r="G55" s="175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</row>
    <row r="56" spans="1:19" ht="14.25" customHeight="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</row>
    <row r="57" spans="1:19" ht="14.25" customHeight="1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</row>
    <row r="58" spans="1:19" ht="14.25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</row>
    <row r="59" spans="1:19" ht="14.25" customHeight="1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</row>
    <row r="60" spans="1:19" ht="14.25" customHeight="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</row>
    <row r="61" spans="1:19" ht="14.25" customHeight="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</row>
    <row r="62" spans="1:19" ht="14.25" customHeight="1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</row>
    <row r="63" spans="1:19" ht="14.25" customHeight="1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</row>
    <row r="64" spans="1:19" ht="14.25" customHeight="1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</row>
    <row r="65" spans="1:19" ht="14.2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</row>
    <row r="66" spans="1:19" ht="14.25" customHeight="1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</row>
    <row r="67" spans="1:19" ht="14.25" customHeight="1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</row>
    <row r="68" spans="1:19" ht="14.25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</row>
    <row r="69" spans="1:19" ht="14.25" customHeight="1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</row>
    <row r="70" spans="1:19" ht="14.25" customHeight="1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</row>
    <row r="71" spans="1:19" ht="14.25" customHeight="1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</row>
    <row r="72" spans="1:19" ht="14.25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</row>
    <row r="73" spans="1:19" ht="14.25" customHeight="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</row>
    <row r="74" spans="1:19" ht="14.25" customHeight="1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179"/>
      <c r="O74" s="178"/>
      <c r="P74" s="103"/>
      <c r="Q74" s="103"/>
      <c r="R74" s="103"/>
      <c r="S74" s="60"/>
    </row>
    <row r="75" spans="1:19" ht="14.25" customHeight="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</row>
    <row r="76" spans="1:19" ht="14.25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180"/>
      <c r="N76" s="178"/>
      <c r="O76" s="60"/>
      <c r="P76" s="60"/>
      <c r="Q76" s="60"/>
      <c r="R76" s="60"/>
      <c r="S76" s="60"/>
    </row>
    <row r="77" spans="1:19" ht="14.25" customHeight="1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175"/>
      <c r="N77" s="60"/>
      <c r="O77" s="60"/>
      <c r="P77" s="60"/>
      <c r="Q77" s="60"/>
      <c r="R77" s="60"/>
      <c r="S77" s="60"/>
    </row>
    <row r="78" spans="1:19" ht="14.25" customHeight="1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</row>
    <row r="79" spans="1:19" ht="14.25" customHeight="1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</row>
    <row r="80" spans="1:19" ht="14.25" customHeight="1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</row>
    <row r="81" spans="1:19" ht="14.25" customHeight="1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</row>
    <row r="82" spans="1:19" ht="14.25" customHeight="1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</row>
    <row r="83" spans="1:19" ht="14.25" customHeight="1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</row>
    <row r="84" spans="1:19" ht="14.25" customHeight="1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</row>
    <row r="85" spans="1:19" ht="14.25" customHeight="1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</row>
    <row r="86" spans="1:19" ht="14.25" customHeight="1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</row>
    <row r="87" spans="1:19" ht="14.25" customHeight="1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</row>
    <row r="88" spans="1:19" ht="14.25" customHeight="1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</row>
    <row r="89" spans="1:19" ht="14.25" customHeight="1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</row>
    <row r="90" spans="1:19" ht="14.25" customHeight="1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</row>
    <row r="91" spans="1:19" ht="14.25" customHeight="1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</row>
    <row r="92" spans="1:19" ht="14.25" customHeight="1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</row>
    <row r="93" spans="1:19" ht="14.25" customHeight="1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</row>
    <row r="94" spans="1:19" ht="14.25" customHeight="1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</row>
    <row r="95" spans="1:19" ht="14.25" customHeight="1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</row>
    <row r="96" spans="1:19" ht="14.25" customHeight="1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</row>
    <row r="97" spans="1:19" ht="14.25" customHeight="1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</row>
    <row r="98" spans="1:19" ht="14.25" customHeight="1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</row>
    <row r="99" spans="1:19" ht="14.25" customHeight="1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</row>
    <row r="100" spans="1:19" ht="14.25" customHeight="1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</row>
    <row r="101" spans="1:19" ht="14.25" customHeight="1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</row>
    <row r="102" spans="1:19" ht="14.25" customHeight="1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</row>
    <row r="103" spans="1:19" ht="14.25" customHeight="1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</row>
    <row r="104" spans="1:19" ht="14.25" customHeight="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</row>
    <row r="105" spans="1:19" ht="14.25" customHeight="1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</row>
    <row r="106" spans="1:19" ht="14.25" customHeight="1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</row>
    <row r="107" spans="1:19" ht="14.25" customHeight="1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</row>
    <row r="108" spans="1:19" ht="14.25" customHeight="1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</row>
    <row r="109" spans="1:19" ht="14.25" customHeight="1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</row>
    <row r="110" spans="1:19" ht="14.25" customHeight="1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</row>
    <row r="111" spans="1:19" ht="14.25" customHeight="1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</row>
    <row r="112" spans="1:19" ht="14.25" customHeight="1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</row>
    <row r="113" spans="1:19" ht="14.25" customHeight="1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</row>
    <row r="114" spans="1:19" ht="14.25" customHeight="1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</row>
    <row r="115" spans="1:19" ht="14.25" customHeight="1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</row>
    <row r="116" spans="1:19" ht="14.25" customHeight="1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</row>
    <row r="117" spans="1:19" ht="14.25" customHeight="1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</row>
    <row r="118" spans="1:19" ht="14.25" customHeight="1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</row>
    <row r="119" spans="1:19" ht="14.25" customHeight="1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</row>
    <row r="120" spans="1:19" ht="14.25" customHeight="1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</row>
    <row r="121" spans="1:19" ht="14.25" customHeight="1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</row>
    <row r="122" spans="1:19" ht="14.25" customHeight="1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</row>
    <row r="123" spans="1:19" ht="14.25" customHeight="1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</row>
    <row r="124" spans="1:19" ht="14.25" customHeight="1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</row>
    <row r="125" spans="1:19" ht="14.25" customHeight="1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</row>
    <row r="126" spans="1:19" ht="14.25" customHeight="1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</row>
    <row r="127" spans="1:19" ht="14.25" customHeight="1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</row>
    <row r="128" spans="1:19" ht="14.25" customHeight="1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</row>
    <row r="129" spans="1:19" ht="14.25" customHeight="1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</row>
    <row r="130" spans="1:19" ht="14.25" customHeight="1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</row>
    <row r="131" spans="1:19" ht="14.25" customHeight="1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</row>
    <row r="132" spans="1:19" ht="14.25" customHeight="1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</row>
    <row r="133" spans="1:19" ht="14.25" customHeight="1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</row>
    <row r="134" spans="1:19" ht="14.25" customHeight="1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</row>
    <row r="135" spans="1:19" ht="14.25" customHeight="1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</row>
    <row r="136" spans="1:19" ht="14.25" customHeight="1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</row>
    <row r="137" spans="1:19" ht="14.25" customHeight="1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</row>
    <row r="138" spans="1:19" ht="14.25" customHeight="1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</row>
    <row r="139" spans="1:19" ht="14.25" customHeight="1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</row>
    <row r="140" spans="1:19" ht="14.25" customHeight="1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</row>
    <row r="141" spans="1:19" ht="14.25" customHeight="1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</row>
    <row r="142" spans="1:19" ht="14.25" customHeight="1">
      <c r="A142" s="60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</row>
    <row r="143" spans="1:19" ht="14.25" customHeight="1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</row>
    <row r="144" spans="1:19" ht="14.25" customHeight="1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</row>
    <row r="145" spans="1:19" ht="14.25" customHeight="1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</row>
    <row r="146" spans="1:19" ht="14.25" customHeight="1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</row>
    <row r="147" spans="1:19" ht="14.25" customHeight="1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</row>
    <row r="148" spans="1:19" ht="14.25" customHeight="1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</row>
    <row r="149" spans="1:19" ht="14.25" customHeight="1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</row>
    <row r="150" spans="1:19" ht="14.25" customHeight="1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</row>
    <row r="151" spans="1:19" ht="14.25" customHeight="1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</row>
    <row r="152" spans="1:19" ht="14.25" customHeight="1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</row>
    <row r="153" spans="1:19" ht="14.25" customHeight="1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</row>
    <row r="154" spans="1:19" ht="14.25" customHeight="1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</row>
    <row r="155" spans="1:19" ht="14.25" customHeight="1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</row>
    <row r="156" spans="1:19" ht="14.25" customHeight="1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</row>
    <row r="157" spans="1:19" ht="14.25" customHeight="1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</row>
    <row r="158" spans="1:19" ht="14.25" customHeight="1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</row>
    <row r="159" spans="1:19" ht="14.25" customHeight="1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</row>
    <row r="160" spans="1:19" ht="14.25" customHeight="1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</row>
    <row r="161" spans="1:19" ht="14.25" customHeight="1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</row>
    <row r="162" spans="1:19" ht="14.25" customHeight="1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</row>
    <row r="163" spans="1:19" ht="14.25" customHeight="1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</row>
    <row r="164" spans="1:19" ht="14.25" customHeight="1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</row>
    <row r="165" spans="1:19" ht="14.25" customHeight="1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</row>
    <row r="166" spans="1:19" ht="14.25" customHeight="1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</row>
    <row r="167" spans="1:19" ht="14.25" customHeight="1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</row>
    <row r="168" spans="1:19" ht="14.25" customHeight="1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</row>
    <row r="169" spans="1:19" ht="14.25" customHeight="1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</row>
    <row r="170" spans="1:19" ht="14.25" customHeight="1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</row>
    <row r="171" spans="1:19" ht="14.25" customHeight="1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</row>
    <row r="172" spans="1:19" ht="14.25" customHeight="1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</row>
    <row r="173" spans="1:19" ht="14.25" customHeight="1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</row>
    <row r="174" spans="1:19" ht="14.25" customHeight="1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</row>
    <row r="175" spans="1:19" ht="14.25" customHeight="1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</row>
    <row r="176" spans="1:19" ht="14.25" customHeight="1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</row>
    <row r="177" spans="1:19" ht="14.25" customHeight="1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</row>
    <row r="178" spans="1:19" ht="14.25" customHeight="1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</row>
    <row r="179" spans="1:19" ht="14.25" customHeight="1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</row>
    <row r="180" spans="1:19" ht="14.25" customHeight="1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</row>
    <row r="181" spans="1:19" ht="14.25" customHeight="1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</row>
    <row r="182" spans="1:19" ht="14.25" customHeight="1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</row>
    <row r="183" spans="1:19" ht="14.25" customHeight="1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</row>
    <row r="184" spans="1:19" ht="14.25" customHeight="1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</row>
    <row r="185" spans="1:19" ht="14.25" customHeight="1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</row>
    <row r="186" spans="1:19" ht="14.25" customHeight="1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</row>
    <row r="187" spans="1:19" ht="14.25" customHeight="1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</row>
    <row r="188" spans="1:19" ht="14.25" customHeight="1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</row>
    <row r="189" spans="1:19" ht="14.25" customHeight="1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</row>
    <row r="190" spans="1:19" ht="14.25" customHeight="1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</row>
    <row r="191" spans="1:19" ht="14.25" customHeight="1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</row>
    <row r="192" spans="1:19" ht="14.25" customHeight="1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</row>
    <row r="193" spans="1:19" ht="14.25" customHeight="1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</row>
    <row r="194" spans="1:19" ht="14.25" customHeight="1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</row>
    <row r="195" spans="1:19" ht="14.25" customHeight="1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</row>
    <row r="196" spans="1:19" ht="14.25" customHeight="1">
      <c r="A196" s="60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</row>
    <row r="197" spans="1:19" ht="14.25" customHeight="1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</row>
    <row r="198" spans="1:19" ht="14.25" customHeight="1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</row>
    <row r="199" spans="1:19" ht="14.25" customHeight="1">
      <c r="A199" s="60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</row>
    <row r="200" spans="1:19" ht="14.25" customHeight="1">
      <c r="A200" s="60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</row>
    <row r="201" spans="1:19" ht="14.25" customHeight="1">
      <c r="A201" s="60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</row>
    <row r="202" spans="1:19" ht="14.25" customHeight="1">
      <c r="A202" s="60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</row>
    <row r="203" spans="1:19" ht="14.25" customHeight="1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</row>
    <row r="204" spans="1:19" ht="14.25" customHeight="1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</row>
    <row r="205" spans="1:19" ht="14.25" customHeight="1">
      <c r="A205" s="60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</row>
    <row r="206" spans="1:19" ht="14.25" customHeight="1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</row>
    <row r="207" spans="1:19" ht="14.25" customHeight="1">
      <c r="A207" s="60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</row>
    <row r="208" spans="1:19" ht="14.25" customHeight="1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</row>
    <row r="209" spans="1:19" ht="14.25" customHeight="1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</row>
    <row r="210" spans="1:19" ht="14.25" customHeight="1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</row>
    <row r="211" spans="1:19" ht="14.25" customHeight="1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</row>
    <row r="212" spans="1:19" ht="14.25" customHeight="1">
      <c r="A212" s="60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</row>
    <row r="213" spans="1:19" ht="14.25" customHeight="1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</row>
    <row r="214" spans="1:19" ht="14.25" customHeight="1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</row>
    <row r="215" spans="1:19" ht="14.25" customHeight="1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</row>
    <row r="216" spans="1:19" ht="14.25" customHeight="1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</row>
    <row r="217" spans="1:19" ht="14.25" customHeight="1">
      <c r="A217" s="60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</row>
    <row r="218" spans="1:19" ht="14.25" customHeight="1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</row>
    <row r="219" spans="1:19" ht="14.25" customHeight="1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</row>
    <row r="220" spans="1:19" ht="14.25" customHeight="1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</row>
    <row r="221" spans="1:19" ht="14.25" customHeight="1">
      <c r="A221" s="60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</row>
    <row r="222" spans="1:19" ht="14.25" customHeight="1">
      <c r="A222" s="60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</row>
    <row r="223" spans="1:19" ht="14.25" customHeight="1">
      <c r="A223" s="60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</row>
    <row r="224" spans="1:19" ht="14.25" customHeight="1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</row>
    <row r="225" spans="1:19" ht="14.25" customHeight="1">
      <c r="A225" s="60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</row>
    <row r="226" spans="1:19" ht="14.25" customHeight="1">
      <c r="A226" s="60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</row>
    <row r="227" spans="1:19" ht="14.25" customHeight="1">
      <c r="A227" s="60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</row>
    <row r="228" spans="1:19" ht="14.25" customHeight="1">
      <c r="A228" s="60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</row>
    <row r="229" spans="1:19" ht="14.25" customHeight="1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</row>
    <row r="230" spans="1:19" ht="14.25" customHeight="1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</row>
    <row r="231" spans="1:19" ht="14.25" customHeight="1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</row>
    <row r="232" spans="1:19" ht="14.25" customHeight="1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</row>
    <row r="233" spans="1:19" ht="14.25" customHeight="1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</row>
    <row r="234" spans="1:19" ht="14.25" customHeight="1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</row>
    <row r="235" spans="1:19" ht="14.25" customHeight="1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</row>
    <row r="236" spans="1:19" ht="14.25" customHeight="1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</row>
    <row r="237" spans="1:19" ht="14.25" customHeight="1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</row>
    <row r="238" spans="1:19" ht="14.25" customHeight="1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</row>
    <row r="239" spans="1:19" ht="14.25" customHeight="1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</row>
    <row r="240" spans="1:19" ht="14.25" customHeight="1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</row>
    <row r="241" spans="1:19" ht="14.25" customHeight="1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</row>
    <row r="242" spans="1:19" ht="14.25" customHeight="1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</row>
    <row r="243" spans="1:19" ht="14.25" customHeight="1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</row>
    <row r="244" spans="1:19" ht="14.25" customHeight="1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</row>
    <row r="245" spans="1:19" ht="14.25" customHeight="1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</row>
    <row r="246" spans="1:19" ht="14.25" customHeight="1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</row>
    <row r="247" spans="1:19" ht="14.25" customHeight="1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</row>
    <row r="248" spans="1:19" ht="14.25" customHeight="1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</row>
    <row r="249" spans="1:19" ht="15.75" customHeight="1"/>
    <row r="250" spans="1:19" ht="15.75" customHeight="1"/>
    <row r="251" spans="1:19" ht="15.75" customHeight="1"/>
    <row r="252" spans="1:19" ht="15.75" customHeight="1"/>
    <row r="253" spans="1:19" ht="15.75" customHeight="1"/>
    <row r="254" spans="1:19" ht="15.75" customHeight="1"/>
    <row r="255" spans="1:19" ht="15.75" customHeight="1"/>
    <row r="256" spans="1:1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I4:J4"/>
    <mergeCell ref="G54:H54"/>
    <mergeCell ref="N74:O74"/>
    <mergeCell ref="M76:N76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Tabela-consumo</vt:lpstr>
      <vt:lpstr>Projeto</vt:lpstr>
      <vt:lpstr>Analise do Investimento</vt:lpstr>
      <vt:lpstr>'Tabela-consumo'!info_materiais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</dc:creator>
  <cp:lastModifiedBy>Elmer</cp:lastModifiedBy>
  <dcterms:created xsi:type="dcterms:W3CDTF">2020-02-13T17:52:29Z</dcterms:created>
  <dcterms:modified xsi:type="dcterms:W3CDTF">2020-09-11T20:25:30Z</dcterms:modified>
</cp:coreProperties>
</file>